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HS&amp;BS\SESplan - SP\HNDA3 - SP\SES HNDA3 Report - SP\Final Drafts Dont delete! - SP\"/>
    </mc:Choice>
  </mc:AlternateContent>
  <xr:revisionPtr revIDLastSave="0" documentId="13_ncr:1_{CE665F2D-B17B-437E-A99C-D61F01CCEDF7}" xr6:coauthVersionLast="47" xr6:coauthVersionMax="47" xr10:uidLastSave="{00000000-0000-0000-0000-000000000000}"/>
  <bookViews>
    <workbookView xWindow="-120" yWindow="-120" windowWidth="24240" windowHeight="13140" xr2:uid="{48D15B6F-2086-4EF6-A003-EE3716891EAC}"/>
  </bookViews>
  <sheets>
    <sheet name="Introduction" sheetId="4" r:id="rId1"/>
    <sheet name="Option 1 HoTOC Existing" sheetId="1" r:id="rId2"/>
    <sheet name="Option 2 LA Existing" sheetId="2" r:id="rId3"/>
    <sheet name="Option 3 HNDA Tool with LA Need" sheetId="7" r:id="rId4"/>
    <sheet name="Option 3 Clearance" sheetId="3" r:id="rId5"/>
    <sheet name="LA Data &amp; Methodology"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5" l="1"/>
  <c r="D15" i="5"/>
  <c r="D12" i="5"/>
  <c r="D9" i="5"/>
  <c r="D6" i="5"/>
  <c r="H15" i="2"/>
  <c r="I15" i="2"/>
  <c r="G15" i="2"/>
  <c r="E15" i="2"/>
  <c r="D15" i="2"/>
  <c r="F15" i="2"/>
  <c r="D11" i="5" l="1"/>
  <c r="D10" i="5"/>
  <c r="F17" i="2" l="1"/>
  <c r="F19" i="2" s="1"/>
  <c r="F14" i="2"/>
  <c r="F16" i="2" s="1"/>
  <c r="J20" i="2"/>
  <c r="I19" i="2"/>
  <c r="H19" i="2"/>
  <c r="G19" i="2"/>
  <c r="G21" i="2" s="1"/>
  <c r="E19" i="2"/>
  <c r="E21" i="2" s="1"/>
  <c r="D19" i="2"/>
  <c r="D21" i="2" s="1"/>
  <c r="I16" i="2"/>
  <c r="I21" i="2" s="1"/>
  <c r="H16" i="2"/>
  <c r="H21" i="2" s="1"/>
  <c r="G16" i="2"/>
  <c r="E16" i="2"/>
  <c r="D16" i="2"/>
  <c r="J15" i="2"/>
  <c r="J14" i="2"/>
  <c r="J16" i="2" l="1"/>
  <c r="J17" i="2"/>
  <c r="F21" i="2"/>
  <c r="J19" i="2"/>
  <c r="J15" i="7"/>
  <c r="J16" i="7"/>
  <c r="F13" i="7"/>
  <c r="F15" i="7"/>
  <c r="F16" i="7"/>
  <c r="F12" i="7"/>
  <c r="D13" i="7"/>
  <c r="E13" i="7"/>
  <c r="G13" i="7"/>
  <c r="H13" i="7"/>
  <c r="I13" i="7"/>
  <c r="G14" i="7"/>
  <c r="D15" i="7"/>
  <c r="E15" i="7"/>
  <c r="G15" i="7"/>
  <c r="H15" i="7"/>
  <c r="I15" i="7"/>
  <c r="E16" i="7"/>
  <c r="G16" i="7"/>
  <c r="H16" i="7"/>
  <c r="I16" i="7"/>
  <c r="E12" i="7"/>
  <c r="G12" i="7"/>
  <c r="G17" i="7" s="1"/>
  <c r="H12" i="7"/>
  <c r="I12" i="7"/>
  <c r="E24" i="5"/>
  <c r="F24" i="5"/>
  <c r="H24" i="5"/>
  <c r="I24" i="5"/>
  <c r="E25" i="5"/>
  <c r="F25" i="5"/>
  <c r="H25" i="5"/>
  <c r="I25" i="5"/>
  <c r="E26" i="5"/>
  <c r="F26" i="5"/>
  <c r="H26" i="5" s="1"/>
  <c r="I26" i="5" s="1"/>
  <c r="E27" i="5"/>
  <c r="F27" i="5"/>
  <c r="H27" i="5"/>
  <c r="I27" i="5"/>
  <c r="E28" i="5"/>
  <c r="F28" i="5"/>
  <c r="H28" i="5"/>
  <c r="I28" i="5"/>
  <c r="E29" i="5"/>
  <c r="F29" i="5"/>
  <c r="H29" i="5" s="1"/>
  <c r="I29" i="5" s="1"/>
  <c r="G30" i="5"/>
  <c r="J21" i="2" l="1"/>
  <c r="J13" i="7"/>
  <c r="J12" i="7"/>
  <c r="U18" i="3"/>
  <c r="H18" i="3"/>
  <c r="I30" i="5"/>
  <c r="D19" i="5"/>
  <c r="D13" i="5"/>
  <c r="D7" i="5"/>
  <c r="D4" i="5"/>
  <c r="D20" i="5"/>
  <c r="D17" i="5" l="1"/>
  <c r="J7" i="7" l="1"/>
  <c r="H6" i="7"/>
  <c r="I5" i="7"/>
  <c r="H5" i="7"/>
  <c r="H14" i="7" s="1"/>
  <c r="H17" i="7" s="1"/>
  <c r="G5" i="7"/>
  <c r="G8" i="7" s="1"/>
  <c r="F5" i="7"/>
  <c r="E5" i="7"/>
  <c r="D5" i="7"/>
  <c r="J4" i="7"/>
  <c r="J3" i="7"/>
  <c r="F8" i="7" l="1"/>
  <c r="F17" i="7" s="1"/>
  <c r="F14" i="7"/>
  <c r="E8" i="7"/>
  <c r="E14" i="7"/>
  <c r="E17" i="7" s="1"/>
  <c r="D8" i="7"/>
  <c r="D14" i="7"/>
  <c r="D17" i="7" s="1"/>
  <c r="I8" i="7"/>
  <c r="I14" i="7"/>
  <c r="J6" i="7"/>
  <c r="D16" i="5"/>
  <c r="H8" i="7"/>
  <c r="J5" i="7"/>
  <c r="J8" i="7" s="1"/>
  <c r="D14" i="5"/>
  <c r="D5" i="5"/>
  <c r="H28" i="3" l="1"/>
  <c r="U28" i="3"/>
  <c r="I17" i="7"/>
  <c r="J17" i="7" s="1"/>
  <c r="J14" i="7"/>
  <c r="J4" i="2"/>
  <c r="J9" i="2"/>
  <c r="G5" i="2"/>
  <c r="H5" i="2"/>
  <c r="I5" i="2"/>
  <c r="D5" i="2"/>
  <c r="E5" i="2"/>
  <c r="F5" i="2"/>
  <c r="J5" i="2" l="1"/>
  <c r="D8" i="5" l="1"/>
  <c r="N39" i="4" l="1"/>
  <c r="G12" i="3" l="1"/>
  <c r="F12" i="3"/>
  <c r="E12" i="3"/>
  <c r="D12" i="3"/>
  <c r="C12" i="3"/>
  <c r="H11" i="3"/>
  <c r="H10" i="3"/>
  <c r="H9" i="3"/>
  <c r="H8" i="3"/>
  <c r="H7" i="3"/>
  <c r="H6" i="3"/>
  <c r="H5" i="3"/>
  <c r="H26" i="3"/>
  <c r="G26" i="3" s="1"/>
  <c r="H27" i="3"/>
  <c r="C27" i="3" s="1"/>
  <c r="U29" i="3"/>
  <c r="U30" i="3"/>
  <c r="U31" i="3"/>
  <c r="H12" i="3" l="1"/>
  <c r="H29" i="3"/>
  <c r="D29" i="3" s="1"/>
  <c r="R30" i="3"/>
  <c r="O30" i="3"/>
  <c r="P30" i="3"/>
  <c r="K30" i="3"/>
  <c r="Q30" i="3"/>
  <c r="L30" i="3"/>
  <c r="M30" i="3"/>
  <c r="S30" i="3"/>
  <c r="N30" i="3"/>
  <c r="T30" i="3"/>
  <c r="H30" i="3"/>
  <c r="F30" i="3" s="1"/>
  <c r="L31" i="3"/>
  <c r="R31" i="3"/>
  <c r="M31" i="3"/>
  <c r="S31" i="3"/>
  <c r="N31" i="3"/>
  <c r="T31" i="3"/>
  <c r="O31" i="3"/>
  <c r="P31" i="3"/>
  <c r="K31" i="3"/>
  <c r="Q31" i="3"/>
  <c r="H31" i="3"/>
  <c r="F31" i="3" s="1"/>
  <c r="L29" i="3"/>
  <c r="R29" i="3"/>
  <c r="M29" i="3"/>
  <c r="S29" i="3"/>
  <c r="Q29" i="3"/>
  <c r="N29" i="3"/>
  <c r="T29" i="3"/>
  <c r="P29" i="3"/>
  <c r="K29" i="3"/>
  <c r="O29" i="3"/>
  <c r="U27" i="3"/>
  <c r="U26" i="3"/>
  <c r="L28" i="3"/>
  <c r="R28" i="3"/>
  <c r="M28" i="3"/>
  <c r="S28" i="3"/>
  <c r="N28" i="3"/>
  <c r="T28" i="3"/>
  <c r="O28" i="3"/>
  <c r="P28" i="3"/>
  <c r="K28" i="3"/>
  <c r="Q28" i="3"/>
  <c r="C28" i="3"/>
  <c r="G27" i="3"/>
  <c r="C26" i="3"/>
  <c r="D26" i="3"/>
  <c r="F27" i="3"/>
  <c r="E26" i="3"/>
  <c r="E27" i="3"/>
  <c r="F26" i="3"/>
  <c r="D27" i="3"/>
  <c r="E8" i="2"/>
  <c r="E10" i="2" s="1"/>
  <c r="F8" i="2"/>
  <c r="F10" i="2" s="1"/>
  <c r="G8" i="2"/>
  <c r="G10" i="2" s="1"/>
  <c r="H8" i="2"/>
  <c r="H10" i="2" s="1"/>
  <c r="I8" i="2"/>
  <c r="I10" i="2" s="1"/>
  <c r="D8" i="2"/>
  <c r="D10" i="2" s="1"/>
  <c r="U19" i="3" l="1"/>
  <c r="H19" i="3"/>
  <c r="H16" i="3"/>
  <c r="U16" i="3"/>
  <c r="F29" i="3"/>
  <c r="G29" i="3"/>
  <c r="E29" i="3"/>
  <c r="C29" i="3"/>
  <c r="U32" i="3"/>
  <c r="T32" i="3" s="1"/>
  <c r="H21" i="3"/>
  <c r="U21" i="3"/>
  <c r="E30" i="3"/>
  <c r="C30" i="3"/>
  <c r="G30" i="3"/>
  <c r="D30" i="3"/>
  <c r="U20" i="3"/>
  <c r="H20" i="3"/>
  <c r="H17" i="3"/>
  <c r="U17" i="3"/>
  <c r="F28" i="3"/>
  <c r="D28" i="3"/>
  <c r="G31" i="3"/>
  <c r="D31" i="3"/>
  <c r="H32" i="3"/>
  <c r="D32" i="3" s="1"/>
  <c r="C31" i="3"/>
  <c r="E31" i="3"/>
  <c r="E28" i="3"/>
  <c r="G28" i="3"/>
  <c r="M27" i="3"/>
  <c r="S27" i="3"/>
  <c r="N27" i="3"/>
  <c r="O27" i="3"/>
  <c r="P27" i="3"/>
  <c r="K27" i="3"/>
  <c r="Q27" i="3"/>
  <c r="L27" i="3"/>
  <c r="R27" i="3"/>
  <c r="T27" i="3"/>
  <c r="Q26" i="3"/>
  <c r="K26" i="3"/>
  <c r="P26" i="3"/>
  <c r="O26" i="3"/>
  <c r="T26" i="3"/>
  <c r="N26" i="3"/>
  <c r="S26" i="3"/>
  <c r="M26" i="3"/>
  <c r="R26" i="3"/>
  <c r="L26" i="3"/>
  <c r="J8" i="2"/>
  <c r="J6" i="2"/>
  <c r="P19" i="3" l="1"/>
  <c r="L19" i="3"/>
  <c r="T19" i="3"/>
  <c r="Q19" i="3"/>
  <c r="R19" i="3"/>
  <c r="N19" i="3"/>
  <c r="K19" i="3"/>
  <c r="S19" i="3"/>
  <c r="O19" i="3"/>
  <c r="M19" i="3"/>
  <c r="S16" i="3"/>
  <c r="O16" i="3"/>
  <c r="R16" i="3"/>
  <c r="Q16" i="3"/>
  <c r="N16" i="3"/>
  <c r="T16" i="3"/>
  <c r="P16" i="3"/>
  <c r="K16" i="3"/>
  <c r="L16" i="3"/>
  <c r="M16" i="3"/>
  <c r="G16" i="3"/>
  <c r="E16" i="3"/>
  <c r="F16" i="3"/>
  <c r="C16" i="3"/>
  <c r="D16" i="3"/>
  <c r="D19" i="3"/>
  <c r="G19" i="3"/>
  <c r="E19" i="3"/>
  <c r="C19" i="3"/>
  <c r="F19" i="3"/>
  <c r="Q32" i="3"/>
  <c r="K32" i="3"/>
  <c r="P32" i="3"/>
  <c r="S32" i="3"/>
  <c r="O32" i="3"/>
  <c r="M32" i="3"/>
  <c r="N32" i="3"/>
  <c r="L32" i="3"/>
  <c r="R32" i="3"/>
  <c r="N21" i="3"/>
  <c r="T21" i="3"/>
  <c r="K21" i="3"/>
  <c r="Q21" i="3"/>
  <c r="L21" i="3"/>
  <c r="R21" i="3"/>
  <c r="M21" i="3"/>
  <c r="S21" i="3"/>
  <c r="O21" i="3"/>
  <c r="P21" i="3"/>
  <c r="F21" i="3"/>
  <c r="E21" i="3"/>
  <c r="G21" i="3"/>
  <c r="D21" i="3"/>
  <c r="C21" i="3"/>
  <c r="E20" i="3"/>
  <c r="G20" i="3"/>
  <c r="F20" i="3"/>
  <c r="D20" i="3"/>
  <c r="C20" i="3"/>
  <c r="L20" i="3"/>
  <c r="R20" i="3"/>
  <c r="M20" i="3"/>
  <c r="S20" i="3"/>
  <c r="N20" i="3"/>
  <c r="T20" i="3"/>
  <c r="O20" i="3"/>
  <c r="P20" i="3"/>
  <c r="K20" i="3"/>
  <c r="Q20" i="3"/>
  <c r="L17" i="3"/>
  <c r="R17" i="3"/>
  <c r="T17" i="3"/>
  <c r="M17" i="3"/>
  <c r="S17" i="3"/>
  <c r="N17" i="3"/>
  <c r="O17" i="3"/>
  <c r="P17" i="3"/>
  <c r="K17" i="3"/>
  <c r="Q17" i="3"/>
  <c r="C17" i="3"/>
  <c r="D17" i="3"/>
  <c r="G17" i="3"/>
  <c r="E17" i="3"/>
  <c r="F17" i="3"/>
  <c r="G32" i="3"/>
  <c r="F32" i="3"/>
  <c r="E32" i="3"/>
  <c r="C32" i="3"/>
  <c r="C18" i="3"/>
  <c r="G18" i="3"/>
  <c r="E18" i="3"/>
  <c r="H22" i="3"/>
  <c r="D18" i="3"/>
  <c r="F18" i="3"/>
  <c r="P18" i="3"/>
  <c r="K18" i="3"/>
  <c r="Q18" i="3"/>
  <c r="L18" i="3"/>
  <c r="R18" i="3"/>
  <c r="M18" i="3"/>
  <c r="S18" i="3"/>
  <c r="N18" i="3"/>
  <c r="T18" i="3"/>
  <c r="O18" i="3"/>
  <c r="U22" i="3"/>
  <c r="J3" i="2"/>
  <c r="J10" i="2" s="1"/>
  <c r="I6" i="1"/>
  <c r="I5" i="1"/>
  <c r="H7" i="1"/>
  <c r="G7" i="1"/>
  <c r="F7" i="1"/>
  <c r="D18" i="1"/>
  <c r="E18" i="1"/>
  <c r="F18" i="1"/>
  <c r="G18" i="1"/>
  <c r="C18" i="1"/>
  <c r="H12" i="1"/>
  <c r="U6" i="3" s="1"/>
  <c r="H13" i="1"/>
  <c r="U7" i="3" s="1"/>
  <c r="H14" i="1"/>
  <c r="U8" i="3" s="1"/>
  <c r="H15" i="1"/>
  <c r="U9" i="3" s="1"/>
  <c r="H16" i="1"/>
  <c r="U10" i="3" s="1"/>
  <c r="H17" i="1"/>
  <c r="U11" i="3" s="1"/>
  <c r="H11" i="1"/>
  <c r="U5" i="3" s="1"/>
  <c r="O8" i="3" l="1"/>
  <c r="Q8" i="3"/>
  <c r="T8" i="3"/>
  <c r="P8" i="3"/>
  <c r="N8" i="3"/>
  <c r="K8" i="3"/>
  <c r="L8" i="3"/>
  <c r="R8" i="3"/>
  <c r="M8" i="3"/>
  <c r="S8" i="3"/>
  <c r="K9" i="3"/>
  <c r="Q9" i="3"/>
  <c r="P9" i="3"/>
  <c r="L9" i="3"/>
  <c r="R9" i="3"/>
  <c r="S9" i="3"/>
  <c r="M9" i="3"/>
  <c r="N9" i="3"/>
  <c r="T9" i="3"/>
  <c r="O9" i="3"/>
  <c r="M7" i="3"/>
  <c r="S7" i="3"/>
  <c r="N7" i="3"/>
  <c r="T7" i="3"/>
  <c r="O7" i="3"/>
  <c r="R7" i="3"/>
  <c r="P7" i="3"/>
  <c r="L7" i="3"/>
  <c r="K7" i="3"/>
  <c r="Q7" i="3"/>
  <c r="K6" i="3"/>
  <c r="Q6" i="3"/>
  <c r="P6" i="3"/>
  <c r="L6" i="3"/>
  <c r="R6" i="3"/>
  <c r="M6" i="3"/>
  <c r="S6" i="3"/>
  <c r="N6" i="3"/>
  <c r="T6" i="3"/>
  <c r="O6" i="3"/>
  <c r="O11" i="3"/>
  <c r="T11" i="3"/>
  <c r="P11" i="3"/>
  <c r="K11" i="3"/>
  <c r="Q11" i="3"/>
  <c r="L11" i="3"/>
  <c r="R11" i="3"/>
  <c r="M11" i="3"/>
  <c r="S11" i="3"/>
  <c r="N11" i="3"/>
  <c r="R5" i="3"/>
  <c r="L5" i="3"/>
  <c r="Q5" i="3"/>
  <c r="K5" i="3"/>
  <c r="S5" i="3"/>
  <c r="P5" i="3"/>
  <c r="M5" i="3"/>
  <c r="O5" i="3"/>
  <c r="T5" i="3"/>
  <c r="N5" i="3"/>
  <c r="M10" i="3"/>
  <c r="S10" i="3"/>
  <c r="N10" i="3"/>
  <c r="T10" i="3"/>
  <c r="L10" i="3"/>
  <c r="O10" i="3"/>
  <c r="R10" i="3"/>
  <c r="P10" i="3"/>
  <c r="K10" i="3"/>
  <c r="Q10" i="3"/>
  <c r="L22" i="3"/>
  <c r="R22" i="3"/>
  <c r="M22" i="3"/>
  <c r="S22" i="3"/>
  <c r="N22" i="3"/>
  <c r="T22" i="3"/>
  <c r="O22" i="3"/>
  <c r="P22" i="3"/>
  <c r="K22" i="3"/>
  <c r="Q22" i="3"/>
  <c r="C22" i="3"/>
  <c r="G22" i="3"/>
  <c r="F22" i="3"/>
  <c r="E22" i="3"/>
  <c r="D22" i="3"/>
  <c r="H18" i="1"/>
  <c r="D7" i="1"/>
  <c r="E7" i="1"/>
  <c r="C7" i="1"/>
  <c r="I7" i="1" s="1"/>
  <c r="U12" i="3"/>
  <c r="K12" i="3" l="1"/>
  <c r="Q12" i="3"/>
  <c r="M12" i="3"/>
  <c r="L12" i="3"/>
  <c r="R12" i="3"/>
  <c r="S12" i="3"/>
  <c r="N12" i="3"/>
  <c r="T12" i="3"/>
  <c r="P12" i="3"/>
  <c r="O12" i="3"/>
</calcChain>
</file>

<file path=xl/sharedStrings.xml><?xml version="1.0" encoding="utf-8"?>
<sst xmlns="http://schemas.openxmlformats.org/spreadsheetml/2006/main" count="287" uniqueCount="106">
  <si>
    <t>City of Edinburgh</t>
  </si>
  <si>
    <t>East Lothian</t>
  </si>
  <si>
    <t>Fife (W&amp;C)</t>
  </si>
  <si>
    <t>Midlothian</t>
  </si>
  <si>
    <t>Scottish Borders</t>
  </si>
  <si>
    <t>West Lothian</t>
  </si>
  <si>
    <t>Total</t>
  </si>
  <si>
    <t>Fife (1)</t>
  </si>
  <si>
    <t>Fife (2)</t>
  </si>
  <si>
    <t xml:space="preserve">Homeless Temporary </t>
  </si>
  <si>
    <t>Source</t>
  </si>
  <si>
    <t>HL1 31st March 2020</t>
  </si>
  <si>
    <t xml:space="preserve">All Fife </t>
  </si>
  <si>
    <t xml:space="preserve">Homeless / Temporary </t>
  </si>
  <si>
    <t>Definition</t>
  </si>
  <si>
    <t>Support needs / special forms of housing</t>
  </si>
  <si>
    <t>Category of Need</t>
  </si>
  <si>
    <t>Affordability % applied to retain only those households who cannot afford to resolve own housing issues</t>
  </si>
  <si>
    <t>Concealed household with more than one family, that does not include a ‘household reference person’, this being the lead individual for the household based on a priority of economic activity (Census), and overcrowded by showing 'not enough rooms' according to the bedroom standard.</t>
  </si>
  <si>
    <t xml:space="preserve">Net concealed and overcrowded  / those who cannot afford to resolve own housing issues </t>
  </si>
  <si>
    <t xml:space="preserve">Homeless households and those in temporary accommodation.  </t>
  </si>
  <si>
    <t>Option 2 LA Existing Need</t>
  </si>
  <si>
    <t>5 YEARS</t>
  </si>
  <si>
    <t>10 YEARS</t>
  </si>
  <si>
    <t>SHCS 2017-19</t>
  </si>
  <si>
    <t>Difference</t>
  </si>
  <si>
    <t>%</t>
  </si>
  <si>
    <t>New Total</t>
  </si>
  <si>
    <t>Fife</t>
  </si>
  <si>
    <t>Concealed and Overcrowded HH From the Census (2011) Uprated to the (SHS 2016-2018) Household Estimates</t>
  </si>
  <si>
    <t>NB Annualised figures don't always match LA totals due to rounding within HNDA Tool calculation</t>
  </si>
  <si>
    <t>Source within HNDA Tool</t>
  </si>
  <si>
    <t>Option 1 - this is the HoTOC methodology for existing housing need and default position based in the HNDA Tool</t>
  </si>
  <si>
    <t xml:space="preserve">Total presents existing need for social rented housing including all-Fife data at this level in the HNDA Tool </t>
  </si>
  <si>
    <t xml:space="preserve">Total presents existing need for social rented housing with Fife (Central &amp; West) adjustment </t>
  </si>
  <si>
    <t>SHS/SHCS 
2016-18</t>
  </si>
  <si>
    <t>HOTEC C&amp;O Method</t>
  </si>
  <si>
    <t>Increase from 2016-18 to 2017-19</t>
  </si>
  <si>
    <t>Existing need</t>
  </si>
  <si>
    <t>Existing need is driven by several factors such as homelessness, overcrowding, care and support needs, etc. Most existing need is met using in-situ solutions e.g. adaptations, transfers, stock improvements, etc. However, a small proportion of need must be met through additional housing units where an in-situ solution cannot be found e.g. for homeless households, etc.</t>
  </si>
  <si>
    <t>HoTOC Existing</t>
  </si>
  <si>
    <t>LA Existing</t>
  </si>
  <si>
    <t>Clearance</t>
  </si>
  <si>
    <t>The default position in the Tool is for existing need to be cleared over a 5 year period. However authorities can change this to however many years they consider to be appropriate for their local circumstance and where they can evidence this. Selecting a longer period will smooth the existing need over more years in the projection period, rather than it being concentrated in the first five years of the projection period.  The  figures shown within these tables do not include future need which will be added through other HNDA stages.</t>
  </si>
  <si>
    <t>A core scenario has been pre-programmed into the HNDA Tool using combined count of homeless households in temporary accommodation and households that are both overcrowded and concealed (HoTOC).</t>
  </si>
  <si>
    <t xml:space="preserve">LAs may produce their own estimate of households in existing need who need a new housing unit and input this direct into the Tool. However, there must be a strong rationale for this approach with a full write-up of the method employed provided in the HNDA.  It should not include need that can be delivered through turnover or in-situ solutions.  Two options have been provided for Project Team consideration. </t>
  </si>
  <si>
    <t>Difference between HNDA3 and HNDA2</t>
  </si>
  <si>
    <t>HNDA2</t>
  </si>
  <si>
    <t xml:space="preserve">Concealed and overcrowded households in HNDA2 were assessed separately using a mix of Census data using Census / uprated household data for concealed, and SHCS / uprated household data for overcrowded households with affordability deductions applied to both.  The CHMA have always been concerned about double counting between these figures and developed a new methodology for the HNDA Tool, explained through the document 'Estimating concealed family rates with overcrowding using Scottish survey data (2016-2018)'.  The difference in figures between the HNDA2 and draft HNDA3 options are significant. </t>
  </si>
  <si>
    <t xml:space="preserve">Specialist needs were included as an element in HNDA2. </t>
  </si>
  <si>
    <t xml:space="preserve">Fife </t>
  </si>
  <si>
    <t>Changes from HNDA Tool</t>
  </si>
  <si>
    <t>New Figure</t>
  </si>
  <si>
    <t>See LA definitions on worksheet 'LA Own Data Sources'</t>
  </si>
  <si>
    <t xml:space="preserve">Option 2 LA Existing Need </t>
  </si>
  <si>
    <t>HL1 Live cases 31st March 2021</t>
  </si>
  <si>
    <t>Fife Housing Register 
31st March 2021</t>
  </si>
  <si>
    <t xml:space="preserve">Homelessness figures based on HL1 'live' cases in HNDA2.  The HNDA2 figure was 5,884 for South East Scotland. </t>
  </si>
  <si>
    <t>Option 3  LA &amp; HNDA Tool Combined Existing Need</t>
  </si>
  <si>
    <t>HoTOC Existing Need Default in HNDA Tool</t>
  </si>
  <si>
    <t>Option 1 HoTOC Existing Need Default in HNDA Tool</t>
  </si>
  <si>
    <t>HoTOC Existing Need Default in HNDA Tool / Five Year Clearance</t>
  </si>
  <si>
    <t>Justification / LA comments</t>
  </si>
  <si>
    <t>Expect that there is some need but insufficient evidence available at this point to include a figure.</t>
  </si>
  <si>
    <t>Deduction for cases to be resolved outwith social housing</t>
  </si>
  <si>
    <t>Net homeless requirement in social housing</t>
  </si>
  <si>
    <t>Introduction</t>
  </si>
  <si>
    <t>Net figure</t>
  </si>
  <si>
    <t xml:space="preserve">Net figure </t>
  </si>
  <si>
    <t>Deductions for cases that will be resolved outwith social housing - see worksheet 'LA Own Data Sources'</t>
  </si>
  <si>
    <t>Refer to SES HNDA3 affordability assessment by LA area - methodology shown in SES HNDA Chapter 2 and Appendix 6</t>
  </si>
  <si>
    <t>HNDA3 Table 3.12: Overcrowding in concealed households
National Records of Scotland (2020) Estimates of Households and Dwellings in Scotland 2019; National Records of Scotland (2011) Scotland’s Census 2011, Table DC1110SC1 / Concealed Families in Households</t>
  </si>
  <si>
    <t>Housing Episode Form / Re-Housing Panel 31st March 2021</t>
  </si>
  <si>
    <t>Households will be counted if their housing needs cannot currently be met within existing provision, this includes where adaptations cannot be added to their existing housing. However, if that household releases a social rented property by moving (i.e. a transfer), then that household will be discounted.
This criteria was used when gathering data from two East Lothian databases;
1. Housing Episode Forms are completed by H&amp;SCP where a client requires a housing provision which does not currently exist within East Lothian i.e. core and cluster for complex needs learning disabilities. This database was cross-referenced with Re-housing panel list to ensure there was no double counting. The total number is 63.
2. Re-Housing Panel – captures all individuals who require re-housed because of their current house cannot be adapted to meet the needs of the individual. Applicants whose case showed up as deferred, offer pending, recently accepted, currently homeless or transfer tenants were discounted from the final number. The total number is 11.</t>
  </si>
  <si>
    <t>NA</t>
  </si>
  <si>
    <t xml:space="preserve">Homeless households and those in temporary accommodation  </t>
  </si>
  <si>
    <t>Option 3  LA &amp; HNDA Tool Combined Existing Need (preferred option)</t>
  </si>
  <si>
    <t>Uses HNDA Tool estimates for concealed and overcrowded based on the Census (2011) but uprated with SHS/SHCS 2017-2019 household estimates.  See notes for uprating SHS/SHCS data in table below</t>
  </si>
  <si>
    <t>Support needs / Special forms of housing</t>
  </si>
  <si>
    <r>
      <t xml:space="preserve">Both Overcrowded </t>
    </r>
    <r>
      <rPr>
        <u/>
        <sz val="10"/>
        <color theme="1"/>
        <rFont val="Calibri"/>
        <family val="2"/>
        <scheme val="minor"/>
      </rPr>
      <t>and</t>
    </r>
    <r>
      <rPr>
        <sz val="10"/>
        <color theme="1"/>
        <rFont val="Calibri"/>
        <family val="2"/>
        <scheme val="minor"/>
      </rPr>
      <t xml:space="preserve"> Concealed</t>
    </r>
  </si>
  <si>
    <r>
      <t xml:space="preserve">Both Overcrowded </t>
    </r>
    <r>
      <rPr>
        <u/>
        <sz val="11"/>
        <color theme="1"/>
        <rFont val="Calibri"/>
        <family val="2"/>
        <scheme val="minor"/>
      </rPr>
      <t>and</t>
    </r>
    <r>
      <rPr>
        <sz val="11"/>
        <color theme="1"/>
        <rFont val="Calibri"/>
        <family val="2"/>
        <scheme val="minor"/>
      </rPr>
      <t xml:space="preserve"> Concealed</t>
    </r>
  </si>
  <si>
    <t xml:space="preserve">The Borders Joint Learning Disability Service, identifies 10 people who are currently on specialist out of area placements. In addition the service maintains a Transitions tracker to monitor young people coming through “the system” in order to identify, prioritise, provide and commission support and care needs. Whilst some of these young people will continue to live with their parents for many years, ultimately nearly all these young people would need rehousing in due course. The tracker currently identifies 64 young people as a snapshot in time, meaning a total of 74. SBC's Wheelchair Housing Study identifies 65 wheelchair user households registered for social housing. Of these 29 of these are not already in the social rented sector so would not free up another home in the sector.  </t>
  </si>
  <si>
    <t>Both Overcrowded and Concealed</t>
  </si>
  <si>
    <t>There are 30 applicants with complex housing needs who are not current MC tenants. There are 258 applicants on the general needs waiting list seeking specialist housing who are not current MC tenants (2 seeking extra care, 228 seeking sheltered accommodation and 28 seeking wheelchair accessible accommodation).</t>
  </si>
  <si>
    <t>Homeless live cases at 31/3/21 = 802. Using the 5% average for cases closed as discharged to PRS (40) deducted from total homeless cases = 762.</t>
  </si>
  <si>
    <t xml:space="preserve">HNDA Tool </t>
  </si>
  <si>
    <t>Uses HNDA Tool estimates for concealed and overcrowded based on the Census (2011) but uprated with SHS/SHCS 2017-2019 household estimates.  See methodology worksheet.</t>
  </si>
  <si>
    <t>Notes: Adjustment for updated SHS/SHCS household data for category Concealed &amp; Overcrowded</t>
  </si>
  <si>
    <t>Data Source</t>
  </si>
  <si>
    <t>The level of live cases is a true representation of homeless demand.  Data that only considers the numbers of households occupying temporary accommodation does not include those who are sofa surfing or self-accommodating.  Traditionally this is around 40% of WLC live cases and therefore represents a large proportion of demand which is entitled to a permanent secure outcome such as social rented housing.  No deduction made for those likely to be rehoused in private housing as the figure is too insignificant to be counted.</t>
  </si>
  <si>
    <t>HL1 31st March 2021</t>
  </si>
  <si>
    <t>Option 2 LA Existing Need (with Fife (West &amp; Central) Adjustment)</t>
  </si>
  <si>
    <t>Fife (West &amp; Central)</t>
  </si>
  <si>
    <t>Due to the limited supply of available homes, eligibility criteria apply to the Choice based letting categories in Edinburgh in relation to applications for social rented homes. This includes Gold priority where a household has mobility issues and their existing home cannot be adapted to meet their assessed housing needs. Urgent Gold priority is awarded to assist with delayed hospital discharge for households who are unable to return to their previous home as it no longer meets their needs.   As at the end of January 2021, there were 21,657 applicants registered on EdIndex. Of this 5,693 households have a priority status award due to housing need; 363 of these were Gold Priority. It is estimated that around 30-40% of households with Gold priority require adaptations to a home and around 15% a wheelchair home.  Figure to be updated following completion of Accessible Housing Study which should give clearer picture of unmet support needs and requirement for special forms of housing.  The average time to get a social rented home in Edinburgh with a Gold priority is around 300 days due to overall demand and low supply and turnover of homes that will meet specific needs e.g. larger wheelchair accessible homes.  H&amp;SC also note that a proportion of people living in supported accommodation outside Edinburgh have had to do so due to lack of resources in Edinburgh.</t>
  </si>
  <si>
    <t>Edinex January 2021</t>
  </si>
  <si>
    <t>Border Joint Learning Disability Service March 2021</t>
  </si>
  <si>
    <t>See data sources within worksheet 'LA Data &amp; Metholology'</t>
  </si>
  <si>
    <t>Option 3  HNDA Tool with LA Existing Need (Preferred Option)</t>
  </si>
  <si>
    <t>Option 3  HNDA Tool with LA Existing Need (Preferred Option and with Fife (West &amp; Central) Adjustment)</t>
  </si>
  <si>
    <t>Scottish Government, Homelessness HL1 'live' applications at 31st March 2021</t>
  </si>
  <si>
    <t>HL1 Live applications 31st March 2021</t>
  </si>
  <si>
    <t>Homeless Live Cases at 31st March 2021 – 747
Between 2015/16 and 2018/19, an average of 5% of households whose cases were closed were discharged to the PRS.
Total housing need for homeless live cases at 31st March 2021, with a 5% reduction – 710</t>
  </si>
  <si>
    <t xml:space="preserve">The homelessness caseload is a more robust indicator of homelessness need.  Historically around 70% of statutorily homeless customers make their own arrangements with a minority 30% using temporary accommodation.  The Covid-19 pandemic has led to a significant increase in homelessness and the balance has come closer to 50%/50%.  However if the count is taken only of people in temporary accommodation, a significant proportion of statutory homeless people will be excluded.  To find a net figure of homeless households requiring a deduction of 4.67% (72 households) has been made to the 1,646 cases for all-Fife to reflect past trends on homeless households housed in private renting which is adjusted to 1,302 live application / 57 deductions for Fife (West &amp; Central):
20/21 closed 2236 cases and 114 of these went into the PRS (5%)
19/20 closed 2628 cases and 121 of these went into the PRS (4.6%)
18/19 closed 2509 cases and 111 of these went into the PRS (4.4%) </t>
  </si>
  <si>
    <t>Using live cases provides a more realistic figure for homeleness need. Homeless households in temporary accommodation only account for approx a third of homelessness cases so under estimates the existing need from homeless housholds. As of March 2021 there were 264 live cases, 6% of these cases (the average over the past 3 years) have found accommodation in PRS so these have been decducted from the total = 248</t>
  </si>
  <si>
    <t>There were 15,780 applicants on the Fife Housing Register at 31st March 2021.  Of these, 332 have high priority (over 100 points) with a specialist medical, support requirement or physical disability.  All have applied for either wheelchair, extra care or retirement housing of which there is a low supply / turnover in parts of Fife.  All are currently living outwith the social rented sector so a move will not create a net vacancy in social housing.  The 332 was adjusted to reflect the Fife (West &amp; Central) parts of South East Scotland</t>
  </si>
  <si>
    <t>Figure of 4,963 represents households who have an open homeless case, have been assessed as homeless and the council has a duty to secure an offer of settled housing, from which a deduction is made of 138 to provide a net figure of 4,825 households.   A significant proportion of homeless households are not accounted for in only counting those in temporary accommodation.  Past trends show average 60% of open live homeless cases occupy temp accommodation at any one time meaning the other 40% are sofa surfing or living in other untenable conditions and awaiting a homeless outcome from the council. From April to December 2020, 68% of households presenting as homeless have been provided with temporary accommodation which is a 10% rise from 2019/20.  NB Homeless figures are different from the published figures as CofE is correcting figures via the Scottish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</si>
</sst>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sz val="10"/>
      <name val="Calibri"/>
      <family val="2"/>
    </font>
    <font>
      <sz val="9"/>
      <color indexed="8"/>
      <name val="Calibri"/>
      <family val="2"/>
    </font>
    <font>
      <sz val="10"/>
      <color theme="1"/>
      <name val="Calibri"/>
      <family val="2"/>
      <scheme val="minor"/>
    </font>
    <font>
      <b/>
      <sz val="10"/>
      <color theme="1"/>
      <name val="Calibri"/>
      <family val="2"/>
      <scheme val="minor"/>
    </font>
    <font>
      <sz val="9"/>
      <color theme="1"/>
      <name val="Calibri"/>
      <family val="2"/>
      <scheme val="minor"/>
    </font>
    <font>
      <sz val="9"/>
      <color rgb="FFFF0000"/>
      <name val="Calibri"/>
      <family val="2"/>
      <scheme val="minor"/>
    </font>
    <font>
      <sz val="10"/>
      <name val="Calibri"/>
      <family val="2"/>
      <scheme val="minor"/>
    </font>
    <font>
      <sz val="9"/>
      <name val="Calibri"/>
      <family val="2"/>
      <scheme val="minor"/>
    </font>
    <font>
      <sz val="10"/>
      <name val="Arial"/>
      <family val="2"/>
    </font>
    <font>
      <sz val="11"/>
      <color rgb="FF1F497D"/>
      <name val="Calibri"/>
      <family val="2"/>
    </font>
    <font>
      <sz val="10"/>
      <color indexed="8"/>
      <name val="Calibri"/>
      <family val="2"/>
    </font>
    <font>
      <sz val="10"/>
      <color rgb="FF000000"/>
      <name val="Calibri"/>
      <family val="2"/>
      <scheme val="minor"/>
    </font>
    <font>
      <sz val="10"/>
      <color rgb="FF201F1E"/>
      <name val="Calibri"/>
      <family val="2"/>
      <scheme val="minor"/>
    </font>
    <font>
      <sz val="8"/>
      <color theme="1"/>
      <name val="Calibri"/>
      <family val="2"/>
      <scheme val="minor"/>
    </font>
    <font>
      <u/>
      <sz val="10"/>
      <color theme="1"/>
      <name val="Calibri"/>
      <family val="2"/>
      <scheme val="minor"/>
    </font>
    <font>
      <u/>
      <sz val="11"/>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00">
    <xf numFmtId="0" fontId="0" fillId="0" borderId="0" xfId="0"/>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right" wrapText="1"/>
    </xf>
    <xf numFmtId="0" fontId="0" fillId="0" borderId="1" xfId="0" applyBorder="1" applyAlignment="1">
      <alignment horizontal="right"/>
    </xf>
    <xf numFmtId="3" fontId="0" fillId="0" borderId="1" xfId="0" applyNumberFormat="1" applyBorder="1" applyAlignment="1">
      <alignment horizontal="center"/>
    </xf>
    <xf numFmtId="0" fontId="0" fillId="0" borderId="0" xfId="0" applyAlignment="1">
      <alignment horizontal="left" wrapText="1"/>
    </xf>
    <xf numFmtId="0" fontId="0" fillId="0" borderId="0" xfId="0" applyAlignment="1">
      <alignment horizontal="left"/>
    </xf>
    <xf numFmtId="0" fontId="2" fillId="0" borderId="1" xfId="0" applyFont="1" applyBorder="1" applyAlignment="1">
      <alignment horizontal="right"/>
    </xf>
    <xf numFmtId="3" fontId="2" fillId="0" borderId="1" xfId="0" applyNumberFormat="1" applyFon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0" fillId="2" borderId="1" xfId="0" applyFill="1" applyBorder="1"/>
    <xf numFmtId="0" fontId="0" fillId="2" borderId="1" xfId="0" applyFill="1" applyBorder="1" applyAlignment="1">
      <alignment horizontal="center" wrapText="1"/>
    </xf>
    <xf numFmtId="0" fontId="0" fillId="2" borderId="1" xfId="0"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0" borderId="0" xfId="0" applyFont="1"/>
    <xf numFmtId="3" fontId="0" fillId="0" borderId="0" xfId="0" applyNumberFormat="1" applyBorder="1" applyAlignment="1">
      <alignment horizontal="left"/>
    </xf>
    <xf numFmtId="0" fontId="6" fillId="0" borderId="0" xfId="0" applyFont="1"/>
    <xf numFmtId="0" fontId="4" fillId="0" borderId="1" xfId="0" applyFont="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3" fontId="6" fillId="0" borderId="1" xfId="0" applyNumberFormat="1" applyFont="1" applyBorder="1" applyAlignment="1">
      <alignment horizontal="center" vertical="center"/>
    </xf>
    <xf numFmtId="0" fontId="5" fillId="0" borderId="2" xfId="0" applyFont="1" applyBorder="1" applyAlignment="1">
      <alignment vertical="center" wrapText="1"/>
    </xf>
    <xf numFmtId="0" fontId="8" fillId="0" borderId="0" xfId="0" applyFont="1"/>
    <xf numFmtId="0" fontId="9" fillId="0" borderId="0" xfId="0" applyFont="1"/>
    <xf numFmtId="0" fontId="1" fillId="0" borderId="0" xfId="0" applyFont="1"/>
    <xf numFmtId="3" fontId="6" fillId="3" borderId="1" xfId="0" applyNumberFormat="1" applyFont="1" applyFill="1" applyBorder="1" applyAlignment="1">
      <alignment horizontal="center" vertical="center"/>
    </xf>
    <xf numFmtId="0" fontId="7" fillId="2" borderId="1" xfId="0" applyFont="1" applyFill="1" applyBorder="1" applyAlignment="1">
      <alignment horizontal="right" vertical="center"/>
    </xf>
    <xf numFmtId="0" fontId="7" fillId="2" borderId="1" xfId="0" applyFont="1" applyFill="1" applyBorder="1" applyAlignment="1">
      <alignment vertical="center" wrapText="1"/>
    </xf>
    <xf numFmtId="164" fontId="6" fillId="2" borderId="1" xfId="0" applyNumberFormat="1" applyFont="1" applyFill="1" applyBorder="1" applyAlignment="1">
      <alignment horizontal="center" vertical="center"/>
    </xf>
    <xf numFmtId="0" fontId="10" fillId="0" borderId="1" xfId="0" applyFont="1" applyBorder="1" applyAlignment="1">
      <alignment vertical="center" wrapText="1"/>
    </xf>
    <xf numFmtId="10" fontId="10" fillId="4" borderId="1" xfId="0" applyNumberFormat="1" applyFont="1" applyFill="1" applyBorder="1" applyAlignment="1">
      <alignment horizontal="center" vertical="center"/>
    </xf>
    <xf numFmtId="0" fontId="11" fillId="0" borderId="1" xfId="0" applyFont="1" applyBorder="1" applyAlignment="1">
      <alignment vertical="center" wrapText="1"/>
    </xf>
    <xf numFmtId="3" fontId="10" fillId="3" borderId="1" xfId="0" applyNumberFormat="1" applyFont="1" applyFill="1" applyBorder="1" applyAlignment="1">
      <alignment horizontal="center" vertical="center"/>
    </xf>
    <xf numFmtId="164" fontId="0" fillId="0" borderId="0" xfId="0" applyNumberFormat="1"/>
    <xf numFmtId="1" fontId="0" fillId="0" borderId="0" xfId="0" applyNumberFormat="1"/>
    <xf numFmtId="0" fontId="0" fillId="0" borderId="1" xfId="0" applyBorder="1" applyAlignment="1">
      <alignment horizontal="left" wrapText="1"/>
    </xf>
    <xf numFmtId="3" fontId="7" fillId="2" borderId="1" xfId="0" applyNumberFormat="1" applyFont="1" applyFill="1" applyBorder="1" applyAlignment="1">
      <alignment horizontal="center"/>
    </xf>
    <xf numFmtId="3" fontId="6" fillId="4" borderId="1" xfId="0" applyNumberFormat="1" applyFont="1" applyFill="1" applyBorder="1" applyAlignment="1">
      <alignment horizontal="center" vertical="center"/>
    </xf>
    <xf numFmtId="0" fontId="0" fillId="3" borderId="0" xfId="0" applyFill="1"/>
    <xf numFmtId="0" fontId="0" fillId="3" borderId="0" xfId="0" applyFill="1" applyAlignment="1">
      <alignment horizontal="center"/>
    </xf>
    <xf numFmtId="0" fontId="12" fillId="3" borderId="0" xfId="0" applyFont="1" applyFill="1" applyAlignment="1">
      <alignment horizontal="right"/>
    </xf>
    <xf numFmtId="2" fontId="0" fillId="3" borderId="0" xfId="0" applyNumberFormat="1" applyFill="1" applyAlignment="1">
      <alignment horizontal="center"/>
    </xf>
    <xf numFmtId="1" fontId="0" fillId="3" borderId="0" xfId="0" applyNumberFormat="1" applyFill="1" applyAlignment="1">
      <alignment horizontal="center"/>
    </xf>
    <xf numFmtId="3" fontId="2" fillId="4" borderId="1" xfId="0" applyNumberFormat="1" applyFont="1" applyFill="1" applyBorder="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0" fontId="2" fillId="3" borderId="0" xfId="0" applyFont="1" applyFill="1" applyAlignment="1">
      <alignment horizontal="center" wrapText="1"/>
    </xf>
    <xf numFmtId="3" fontId="0" fillId="0" borderId="0" xfId="0" applyNumberFormat="1" applyAlignment="1">
      <alignment horizontal="center"/>
    </xf>
    <xf numFmtId="0" fontId="2" fillId="0" borderId="0" xfId="0" applyFont="1" applyAlignment="1">
      <alignment horizontal="center"/>
    </xf>
    <xf numFmtId="0" fontId="13" fillId="0" borderId="0" xfId="0" applyFont="1" applyAlignment="1">
      <alignment vertical="center" wrapText="1"/>
    </xf>
    <xf numFmtId="0" fontId="13" fillId="0" borderId="0" xfId="0" applyFont="1" applyAlignment="1">
      <alignment horizontal="left" vertical="center" wrapText="1" indent="3"/>
    </xf>
    <xf numFmtId="0" fontId="0" fillId="0" borderId="0" xfId="0" applyBorder="1"/>
    <xf numFmtId="0" fontId="11" fillId="2" borderId="1" xfId="0" applyFont="1" applyFill="1" applyBorder="1" applyAlignment="1">
      <alignment vertical="center" wrapText="1"/>
    </xf>
    <xf numFmtId="0" fontId="8" fillId="2" borderId="1" xfId="0" applyFont="1" applyFill="1" applyBorder="1" applyAlignment="1">
      <alignment vertical="center" wrapText="1"/>
    </xf>
    <xf numFmtId="0" fontId="0" fillId="5" borderId="1" xfId="0" applyFill="1" applyBorder="1"/>
    <xf numFmtId="0" fontId="0" fillId="5" borderId="1" xfId="0" applyFill="1" applyBorder="1" applyAlignment="1">
      <alignment horizontal="center"/>
    </xf>
    <xf numFmtId="0" fontId="6" fillId="3"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6" fillId="6" borderId="1"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5"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6" borderId="1" xfId="0" applyFont="1" applyFill="1" applyBorder="1" applyAlignment="1">
      <alignment horizontal="center" vertical="center" wrapText="1"/>
    </xf>
    <xf numFmtId="3" fontId="6" fillId="6" borderId="1" xfId="0" applyNumberFormat="1" applyFont="1" applyFill="1" applyBorder="1" applyAlignment="1">
      <alignment horizontal="center" vertical="center"/>
    </xf>
    <xf numFmtId="0" fontId="8" fillId="0" borderId="1" xfId="0" applyFont="1" applyBorder="1" applyAlignment="1">
      <alignment vertical="center" wrapText="1"/>
    </xf>
    <xf numFmtId="0" fontId="8" fillId="2" borderId="1" xfId="0" applyFont="1" applyFill="1" applyBorder="1" applyAlignment="1">
      <alignment horizontal="left" vertical="center" wrapText="1"/>
    </xf>
    <xf numFmtId="0" fontId="17" fillId="0" borderId="0" xfId="0" applyFont="1"/>
    <xf numFmtId="0" fontId="16" fillId="6" borderId="0" xfId="0" applyFont="1" applyFill="1" applyAlignment="1">
      <alignment wrapText="1"/>
    </xf>
    <xf numFmtId="0" fontId="6" fillId="0" borderId="2" xfId="0" applyFont="1" applyBorder="1" applyAlignment="1">
      <alignment vertical="center" wrapText="1"/>
    </xf>
    <xf numFmtId="0" fontId="0" fillId="0" borderId="2" xfId="0" applyFont="1" applyBorder="1" applyAlignment="1">
      <alignment vertical="center"/>
    </xf>
    <xf numFmtId="3" fontId="6" fillId="7" borderId="1" xfId="0" applyNumberFormat="1" applyFont="1" applyFill="1" applyBorder="1" applyAlignment="1">
      <alignment horizontal="center" vertical="center"/>
    </xf>
    <xf numFmtId="0" fontId="6" fillId="3"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15" fillId="6" borderId="1" xfId="0" applyFont="1" applyFill="1" applyBorder="1" applyAlignment="1">
      <alignment vertical="center" wrapText="1"/>
    </xf>
    <xf numFmtId="3" fontId="7" fillId="2" borderId="1" xfId="0" applyNumberFormat="1" applyFont="1" applyFill="1" applyBorder="1" applyAlignment="1">
      <alignment horizontal="center" vertical="center"/>
    </xf>
    <xf numFmtId="0" fontId="2" fillId="8" borderId="0" xfId="0" applyFont="1" applyFill="1"/>
    <xf numFmtId="0" fontId="0" fillId="8" borderId="0" xfId="0" applyFill="1"/>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2" fillId="0" borderId="5" xfId="0" applyFont="1" applyFill="1" applyBorder="1" applyAlignment="1">
      <alignment horizontal="left" wrapText="1"/>
    </xf>
    <xf numFmtId="0" fontId="7" fillId="3" borderId="0" xfId="0" applyFont="1" applyFill="1" applyAlignment="1">
      <alignment horizontal="left" wrapText="1"/>
    </xf>
    <xf numFmtId="0" fontId="6" fillId="6" borderId="2" xfId="0" applyFont="1" applyFill="1" applyBorder="1" applyAlignment="1">
      <alignment horizontal="left" vertical="center"/>
    </xf>
    <xf numFmtId="0" fontId="6" fillId="6" borderId="4" xfId="0" applyFont="1" applyFill="1" applyBorder="1" applyAlignment="1">
      <alignment horizontal="left" vertical="center"/>
    </xf>
    <xf numFmtId="0" fontId="6" fillId="6" borderId="3" xfId="0" applyFont="1" applyFill="1" applyBorder="1" applyAlignment="1">
      <alignment horizontal="left" vertical="center"/>
    </xf>
    <xf numFmtId="0" fontId="6" fillId="3" borderId="2" xfId="0" applyFont="1" applyFill="1" applyBorder="1" applyAlignment="1">
      <alignment horizontal="left" vertical="center"/>
    </xf>
    <xf numFmtId="0" fontId="6" fillId="3" borderId="4" xfId="0" applyFont="1" applyFill="1" applyBorder="1" applyAlignment="1">
      <alignment horizontal="left" vertical="center"/>
    </xf>
    <xf numFmtId="0" fontId="6" fillId="3" borderId="3"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14446-E137-4083-B26A-A10980953C44}">
  <dimension ref="B1:N39"/>
  <sheetViews>
    <sheetView tabSelected="1" workbookViewId="0">
      <selection activeCell="N15" sqref="N15"/>
    </sheetView>
  </sheetViews>
  <sheetFormatPr defaultRowHeight="15" x14ac:dyDescent="0.25"/>
  <sheetData>
    <row r="1" spans="2:12" x14ac:dyDescent="0.25">
      <c r="B1" s="17" t="s">
        <v>66</v>
      </c>
    </row>
    <row r="3" spans="2:12" x14ac:dyDescent="0.25">
      <c r="B3" s="17" t="s">
        <v>38</v>
      </c>
    </row>
    <row r="4" spans="2:12" x14ac:dyDescent="0.25">
      <c r="B4" s="83" t="s">
        <v>39</v>
      </c>
      <c r="C4" s="83"/>
      <c r="D4" s="83"/>
      <c r="E4" s="83"/>
      <c r="F4" s="83"/>
      <c r="G4" s="83"/>
      <c r="H4" s="83"/>
      <c r="I4" s="83"/>
      <c r="J4" s="83"/>
      <c r="K4" s="83"/>
      <c r="L4" s="83"/>
    </row>
    <row r="5" spans="2:12" x14ac:dyDescent="0.25">
      <c r="B5" s="83"/>
      <c r="C5" s="83"/>
      <c r="D5" s="83"/>
      <c r="E5" s="83"/>
      <c r="F5" s="83"/>
      <c r="G5" s="83"/>
      <c r="H5" s="83"/>
      <c r="I5" s="83"/>
      <c r="J5" s="83"/>
      <c r="K5" s="83"/>
      <c r="L5" s="83"/>
    </row>
    <row r="6" spans="2:12" x14ac:dyDescent="0.25">
      <c r="B6" s="83"/>
      <c r="C6" s="83"/>
      <c r="D6" s="83"/>
      <c r="E6" s="83"/>
      <c r="F6" s="83"/>
      <c r="G6" s="83"/>
      <c r="H6" s="83"/>
      <c r="I6" s="83"/>
      <c r="J6" s="83"/>
      <c r="K6" s="83"/>
      <c r="L6" s="83"/>
    </row>
    <row r="7" spans="2:12" ht="15" customHeight="1" x14ac:dyDescent="0.25">
      <c r="B7" s="83"/>
      <c r="C7" s="83"/>
      <c r="D7" s="83"/>
      <c r="E7" s="83"/>
      <c r="F7" s="83"/>
      <c r="G7" s="83"/>
      <c r="H7" s="83"/>
      <c r="I7" s="83"/>
      <c r="J7" s="83"/>
      <c r="K7" s="83"/>
      <c r="L7" s="83"/>
    </row>
    <row r="8" spans="2:12" ht="15" hidden="1" customHeight="1" x14ac:dyDescent="0.25">
      <c r="B8" s="83"/>
      <c r="C8" s="83"/>
      <c r="D8" s="83"/>
      <c r="E8" s="83"/>
      <c r="F8" s="83"/>
      <c r="G8" s="83"/>
      <c r="H8" s="83"/>
      <c r="I8" s="83"/>
      <c r="J8" s="83"/>
      <c r="K8" s="83"/>
      <c r="L8" s="83"/>
    </row>
    <row r="10" spans="2:12" x14ac:dyDescent="0.25">
      <c r="B10" s="17" t="s">
        <v>40</v>
      </c>
    </row>
    <row r="11" spans="2:12" x14ac:dyDescent="0.25">
      <c r="B11" s="83" t="s">
        <v>44</v>
      </c>
      <c r="C11" s="83"/>
      <c r="D11" s="83"/>
      <c r="E11" s="83"/>
      <c r="F11" s="83"/>
      <c r="G11" s="83"/>
      <c r="H11" s="83"/>
      <c r="I11" s="83"/>
      <c r="J11" s="83"/>
      <c r="K11" s="83"/>
      <c r="L11" s="83"/>
    </row>
    <row r="12" spans="2:12" x14ac:dyDescent="0.25">
      <c r="B12" s="83"/>
      <c r="C12" s="83"/>
      <c r="D12" s="83"/>
      <c r="E12" s="83"/>
      <c r="F12" s="83"/>
      <c r="G12" s="83"/>
      <c r="H12" s="83"/>
      <c r="I12" s="83"/>
      <c r="J12" s="83"/>
      <c r="K12" s="83"/>
      <c r="L12" s="83"/>
    </row>
    <row r="14" spans="2:12" x14ac:dyDescent="0.25">
      <c r="B14" s="17" t="s">
        <v>41</v>
      </c>
    </row>
    <row r="15" spans="2:12" x14ac:dyDescent="0.25">
      <c r="B15" s="83" t="s">
        <v>45</v>
      </c>
      <c r="C15" s="83"/>
      <c r="D15" s="83"/>
      <c r="E15" s="83"/>
      <c r="F15" s="83"/>
      <c r="G15" s="83"/>
      <c r="H15" s="83"/>
      <c r="I15" s="83"/>
      <c r="J15" s="83"/>
      <c r="K15" s="83"/>
      <c r="L15" s="83"/>
    </row>
    <row r="16" spans="2:12" x14ac:dyDescent="0.25">
      <c r="B16" s="83"/>
      <c r="C16" s="83"/>
      <c r="D16" s="83"/>
      <c r="E16" s="83"/>
      <c r="F16" s="83"/>
      <c r="G16" s="83"/>
      <c r="H16" s="83"/>
      <c r="I16" s="83"/>
      <c r="J16" s="83"/>
      <c r="K16" s="83"/>
      <c r="L16" s="83"/>
    </row>
    <row r="17" spans="2:14" x14ac:dyDescent="0.25">
      <c r="B17" s="83"/>
      <c r="C17" s="83"/>
      <c r="D17" s="83"/>
      <c r="E17" s="83"/>
      <c r="F17" s="83"/>
      <c r="G17" s="83"/>
      <c r="H17" s="83"/>
      <c r="I17" s="83"/>
      <c r="J17" s="83"/>
      <c r="K17" s="83"/>
      <c r="L17" s="83"/>
    </row>
    <row r="18" spans="2:14" x14ac:dyDescent="0.25">
      <c r="B18" s="83"/>
      <c r="C18" s="83"/>
      <c r="D18" s="83"/>
      <c r="E18" s="83"/>
      <c r="F18" s="83"/>
      <c r="G18" s="83"/>
      <c r="H18" s="83"/>
      <c r="I18" s="83"/>
      <c r="J18" s="83"/>
      <c r="K18" s="83"/>
      <c r="L18" s="83"/>
    </row>
    <row r="20" spans="2:14" x14ac:dyDescent="0.25">
      <c r="B20" s="17" t="s">
        <v>42</v>
      </c>
    </row>
    <row r="21" spans="2:14" ht="15" customHeight="1" x14ac:dyDescent="0.25">
      <c r="B21" s="84" t="s">
        <v>43</v>
      </c>
      <c r="C21" s="84"/>
      <c r="D21" s="84"/>
      <c r="E21" s="84"/>
      <c r="F21" s="84"/>
      <c r="G21" s="84"/>
      <c r="H21" s="84"/>
      <c r="I21" s="84"/>
      <c r="J21" s="84"/>
      <c r="K21" s="84"/>
      <c r="L21" s="84"/>
    </row>
    <row r="22" spans="2:14" x14ac:dyDescent="0.25">
      <c r="B22" s="84"/>
      <c r="C22" s="84"/>
      <c r="D22" s="84"/>
      <c r="E22" s="84"/>
      <c r="F22" s="84"/>
      <c r="G22" s="84"/>
      <c r="H22" s="84"/>
      <c r="I22" s="84"/>
      <c r="J22" s="84"/>
      <c r="K22" s="84"/>
      <c r="L22" s="84"/>
    </row>
    <row r="23" spans="2:14" x14ac:dyDescent="0.25">
      <c r="B23" s="84"/>
      <c r="C23" s="84"/>
      <c r="D23" s="84"/>
      <c r="E23" s="84"/>
      <c r="F23" s="84"/>
      <c r="G23" s="84"/>
      <c r="H23" s="84"/>
      <c r="I23" s="84"/>
      <c r="J23" s="84"/>
      <c r="K23" s="84"/>
      <c r="L23" s="84"/>
    </row>
    <row r="24" spans="2:14" x14ac:dyDescent="0.25">
      <c r="B24" s="84"/>
      <c r="C24" s="84"/>
      <c r="D24" s="84"/>
      <c r="E24" s="84"/>
      <c r="F24" s="84"/>
      <c r="G24" s="84"/>
      <c r="H24" s="84"/>
      <c r="I24" s="84"/>
      <c r="J24" s="84"/>
      <c r="K24" s="84"/>
      <c r="L24" s="84"/>
    </row>
    <row r="25" spans="2:14" x14ac:dyDescent="0.25">
      <c r="B25" s="84"/>
      <c r="C25" s="84"/>
      <c r="D25" s="84"/>
      <c r="E25" s="84"/>
      <c r="F25" s="84"/>
      <c r="G25" s="84"/>
      <c r="H25" s="84"/>
      <c r="I25" s="84"/>
      <c r="J25" s="84"/>
      <c r="K25" s="84"/>
      <c r="L25" s="84"/>
    </row>
    <row r="27" spans="2:14" x14ac:dyDescent="0.25">
      <c r="B27" s="17" t="s">
        <v>46</v>
      </c>
      <c r="N27" s="52" t="s">
        <v>47</v>
      </c>
    </row>
    <row r="28" spans="2:14" ht="19.5" customHeight="1" x14ac:dyDescent="0.25">
      <c r="B28" s="83" t="s">
        <v>57</v>
      </c>
      <c r="C28" s="83"/>
      <c r="D28" s="83"/>
      <c r="E28" s="83"/>
      <c r="F28" s="83"/>
      <c r="G28" s="83"/>
      <c r="H28" s="83"/>
      <c r="I28" s="83"/>
      <c r="J28" s="83"/>
      <c r="K28" s="83"/>
      <c r="L28" s="83"/>
      <c r="N28" s="51">
        <v>5884</v>
      </c>
    </row>
    <row r="29" spans="2:14" ht="23.25" customHeight="1" x14ac:dyDescent="0.25">
      <c r="B29" s="83"/>
      <c r="C29" s="83"/>
      <c r="D29" s="83"/>
      <c r="E29" s="83"/>
      <c r="F29" s="83"/>
      <c r="G29" s="83"/>
      <c r="H29" s="83"/>
      <c r="I29" s="83"/>
      <c r="J29" s="83"/>
      <c r="K29" s="83"/>
      <c r="L29" s="83"/>
      <c r="N29" s="2"/>
    </row>
    <row r="30" spans="2:14" ht="15" customHeight="1" x14ac:dyDescent="0.25">
      <c r="B30" s="84" t="s">
        <v>48</v>
      </c>
      <c r="C30" s="84"/>
      <c r="D30" s="84"/>
      <c r="E30" s="84"/>
      <c r="F30" s="84"/>
      <c r="G30" s="84"/>
      <c r="H30" s="84"/>
      <c r="I30" s="84"/>
      <c r="J30" s="84"/>
      <c r="K30" s="84"/>
      <c r="L30" s="84"/>
      <c r="N30" s="51">
        <v>9746</v>
      </c>
    </row>
    <row r="31" spans="2:14" x14ac:dyDescent="0.25">
      <c r="B31" s="84"/>
      <c r="C31" s="84"/>
      <c r="D31" s="84"/>
      <c r="E31" s="84"/>
      <c r="F31" s="84"/>
      <c r="G31" s="84"/>
      <c r="H31" s="84"/>
      <c r="I31" s="84"/>
      <c r="J31" s="84"/>
      <c r="K31" s="84"/>
      <c r="L31" s="84"/>
      <c r="N31" s="2"/>
    </row>
    <row r="32" spans="2:14" x14ac:dyDescent="0.25">
      <c r="B32" s="84"/>
      <c r="C32" s="84"/>
      <c r="D32" s="84"/>
      <c r="E32" s="84"/>
      <c r="F32" s="84"/>
      <c r="G32" s="84"/>
      <c r="H32" s="84"/>
      <c r="I32" s="84"/>
      <c r="J32" s="84"/>
      <c r="K32" s="84"/>
      <c r="L32" s="84"/>
      <c r="N32" s="2"/>
    </row>
    <row r="33" spans="2:14" x14ac:dyDescent="0.25">
      <c r="B33" s="84"/>
      <c r="C33" s="84"/>
      <c r="D33" s="84"/>
      <c r="E33" s="84"/>
      <c r="F33" s="84"/>
      <c r="G33" s="84"/>
      <c r="H33" s="84"/>
      <c r="I33" s="84"/>
      <c r="J33" s="84"/>
      <c r="K33" s="84"/>
      <c r="L33" s="84"/>
      <c r="N33" s="2"/>
    </row>
    <row r="34" spans="2:14" x14ac:dyDescent="0.25">
      <c r="B34" s="84"/>
      <c r="C34" s="84"/>
      <c r="D34" s="84"/>
      <c r="E34" s="84"/>
      <c r="F34" s="84"/>
      <c r="G34" s="84"/>
      <c r="H34" s="84"/>
      <c r="I34" s="84"/>
      <c r="J34" s="84"/>
      <c r="K34" s="84"/>
      <c r="L34" s="84"/>
      <c r="N34" s="2"/>
    </row>
    <row r="35" spans="2:14" x14ac:dyDescent="0.25">
      <c r="B35" s="84"/>
      <c r="C35" s="84"/>
      <c r="D35" s="84"/>
      <c r="E35" s="84"/>
      <c r="F35" s="84"/>
      <c r="G35" s="84"/>
      <c r="H35" s="84"/>
      <c r="I35" s="84"/>
      <c r="J35" s="84"/>
      <c r="K35" s="84"/>
      <c r="L35" s="84"/>
      <c r="N35" s="2"/>
    </row>
    <row r="36" spans="2:14" x14ac:dyDescent="0.25">
      <c r="N36" s="2"/>
    </row>
    <row r="37" spans="2:14" x14ac:dyDescent="0.25">
      <c r="B37" s="85" t="s">
        <v>49</v>
      </c>
      <c r="C37" s="85"/>
      <c r="D37" s="85"/>
      <c r="E37" s="85"/>
      <c r="F37" s="85"/>
      <c r="G37" s="85"/>
      <c r="H37" s="85"/>
      <c r="I37" s="85"/>
      <c r="J37" s="85"/>
      <c r="K37" s="85"/>
      <c r="L37" s="85"/>
      <c r="N37" s="51">
        <v>3615</v>
      </c>
    </row>
    <row r="38" spans="2:14" x14ac:dyDescent="0.25">
      <c r="B38" s="85"/>
      <c r="C38" s="85"/>
      <c r="D38" s="85"/>
      <c r="E38" s="85"/>
      <c r="F38" s="85"/>
      <c r="G38" s="85"/>
      <c r="H38" s="85"/>
      <c r="I38" s="85"/>
      <c r="J38" s="85"/>
      <c r="K38" s="85"/>
      <c r="L38" s="85"/>
      <c r="N38" s="2"/>
    </row>
    <row r="39" spans="2:14" x14ac:dyDescent="0.25">
      <c r="B39" s="85"/>
      <c r="C39" s="85"/>
      <c r="D39" s="85"/>
      <c r="E39" s="85"/>
      <c r="F39" s="85"/>
      <c r="G39" s="85"/>
      <c r="H39" s="85"/>
      <c r="I39" s="85"/>
      <c r="J39" s="85"/>
      <c r="K39" s="85"/>
      <c r="L39" s="85"/>
      <c r="N39" s="51">
        <f>SUM(N28:N38)</f>
        <v>19245</v>
      </c>
    </row>
  </sheetData>
  <sheetProtection algorithmName="SHA-512" hashValue="nOkPUcYiMpaSghqhxo7ToqGWTY5r9Ucn7wARlrjog1bhGgbmmRwkQOuFeeyB1L38fXNuPCgf376d4jI+6xfAyw==" saltValue="iLOpqHn7XRhyWJ/dZ6JA6w==" spinCount="100000" sheet="1" objects="1" scenarios="1" selectLockedCells="1" selectUnlockedCells="1"/>
  <mergeCells count="7">
    <mergeCell ref="B28:L29"/>
    <mergeCell ref="B30:L35"/>
    <mergeCell ref="B37:L39"/>
    <mergeCell ref="B4:L8"/>
    <mergeCell ref="B11:L12"/>
    <mergeCell ref="B15:L18"/>
    <mergeCell ref="B21:L2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92907-FB02-463B-A215-B62AC3784BAF}">
  <dimension ref="B1:K19"/>
  <sheetViews>
    <sheetView workbookViewId="0">
      <selection activeCell="B6" sqref="B6"/>
    </sheetView>
  </sheetViews>
  <sheetFormatPr defaultRowHeight="15" x14ac:dyDescent="0.25"/>
  <cols>
    <col min="2" max="2" width="31.5703125" customWidth="1"/>
    <col min="3" max="3" width="10.5703125" customWidth="1"/>
    <col min="6" max="6" width="10.85546875" customWidth="1"/>
    <col min="10" max="10" width="38.140625" customWidth="1"/>
    <col min="11" max="11" width="29.28515625" customWidth="1"/>
  </cols>
  <sheetData>
    <row r="1" spans="2:11" x14ac:dyDescent="0.25">
      <c r="B1" s="17" t="s">
        <v>32</v>
      </c>
    </row>
    <row r="2" spans="2:11" x14ac:dyDescent="0.25">
      <c r="B2" s="17"/>
    </row>
    <row r="3" spans="2:11" x14ac:dyDescent="0.25">
      <c r="B3" s="17" t="s">
        <v>59</v>
      </c>
    </row>
    <row r="4" spans="2:11" ht="30" x14ac:dyDescent="0.25">
      <c r="B4" s="12"/>
      <c r="C4" s="13" t="s">
        <v>0</v>
      </c>
      <c r="D4" s="13" t="s">
        <v>1</v>
      </c>
      <c r="E4" s="13" t="s">
        <v>12</v>
      </c>
      <c r="F4" s="13" t="s">
        <v>3</v>
      </c>
      <c r="G4" s="13" t="s">
        <v>4</v>
      </c>
      <c r="H4" s="13" t="s">
        <v>5</v>
      </c>
      <c r="I4" s="15" t="s">
        <v>6</v>
      </c>
      <c r="J4" s="6" t="s">
        <v>31</v>
      </c>
      <c r="K4" s="1"/>
    </row>
    <row r="5" spans="2:11" x14ac:dyDescent="0.25">
      <c r="B5" s="4" t="s">
        <v>9</v>
      </c>
      <c r="C5" s="5">
        <v>1868</v>
      </c>
      <c r="D5" s="5">
        <v>422</v>
      </c>
      <c r="E5" s="5">
        <v>525</v>
      </c>
      <c r="F5" s="5">
        <v>418</v>
      </c>
      <c r="G5" s="5">
        <v>81</v>
      </c>
      <c r="H5" s="5">
        <v>445</v>
      </c>
      <c r="I5" s="9">
        <f>SUM(C5:H5)</f>
        <v>3759</v>
      </c>
      <c r="J5" s="6" t="s">
        <v>11</v>
      </c>
      <c r="K5" s="1"/>
    </row>
    <row r="6" spans="2:11" x14ac:dyDescent="0.25">
      <c r="B6" s="75" t="s">
        <v>80</v>
      </c>
      <c r="C6" s="5">
        <v>272</v>
      </c>
      <c r="D6" s="5">
        <v>56</v>
      </c>
      <c r="E6" s="5">
        <v>215</v>
      </c>
      <c r="F6" s="5">
        <v>62</v>
      </c>
      <c r="G6" s="5">
        <v>22</v>
      </c>
      <c r="H6" s="5">
        <v>137</v>
      </c>
      <c r="I6" s="9">
        <f t="shared" ref="I6:I7" si="0">SUM(C6:H6)</f>
        <v>764</v>
      </c>
      <c r="J6" s="7" t="s">
        <v>29</v>
      </c>
    </row>
    <row r="7" spans="2:11" x14ac:dyDescent="0.25">
      <c r="B7" s="8" t="s">
        <v>6</v>
      </c>
      <c r="C7" s="9">
        <f t="shared" ref="C7:H7" si="1">SUM(C5:C6)</f>
        <v>2140</v>
      </c>
      <c r="D7" s="9">
        <f t="shared" si="1"/>
        <v>478</v>
      </c>
      <c r="E7" s="9">
        <f t="shared" si="1"/>
        <v>740</v>
      </c>
      <c r="F7" s="9">
        <f t="shared" si="1"/>
        <v>480</v>
      </c>
      <c r="G7" s="9">
        <f t="shared" si="1"/>
        <v>103</v>
      </c>
      <c r="H7" s="9">
        <f t="shared" si="1"/>
        <v>582</v>
      </c>
      <c r="I7" s="47">
        <f t="shared" si="0"/>
        <v>4523</v>
      </c>
      <c r="J7" t="s">
        <v>33</v>
      </c>
    </row>
    <row r="8" spans="2:11" x14ac:dyDescent="0.25">
      <c r="C8" s="2"/>
      <c r="D8" s="2"/>
      <c r="E8" s="2"/>
      <c r="F8" s="2"/>
      <c r="G8" s="2"/>
      <c r="H8" s="2"/>
      <c r="I8" s="2"/>
    </row>
    <row r="9" spans="2:11" x14ac:dyDescent="0.25">
      <c r="B9" s="17" t="s">
        <v>61</v>
      </c>
    </row>
    <row r="10" spans="2:11" x14ac:dyDescent="0.25">
      <c r="B10" s="12"/>
      <c r="C10" s="14">
        <v>2020</v>
      </c>
      <c r="D10" s="14">
        <v>2021</v>
      </c>
      <c r="E10" s="14">
        <v>2022</v>
      </c>
      <c r="F10" s="14">
        <v>2023</v>
      </c>
      <c r="G10" s="14">
        <v>2024</v>
      </c>
      <c r="H10" s="16" t="s">
        <v>6</v>
      </c>
      <c r="I10" s="11"/>
    </row>
    <row r="11" spans="2:11" x14ac:dyDescent="0.25">
      <c r="B11" s="3" t="s">
        <v>0</v>
      </c>
      <c r="C11" s="5">
        <v>428</v>
      </c>
      <c r="D11" s="5">
        <v>428</v>
      </c>
      <c r="E11" s="5">
        <v>428</v>
      </c>
      <c r="F11" s="5">
        <v>428</v>
      </c>
      <c r="G11" s="5">
        <v>428</v>
      </c>
      <c r="H11" s="9">
        <f>SUM(B11:G11)</f>
        <v>2140</v>
      </c>
      <c r="I11" s="10"/>
    </row>
    <row r="12" spans="2:11" x14ac:dyDescent="0.25">
      <c r="B12" s="3" t="s">
        <v>1</v>
      </c>
      <c r="C12" s="5">
        <v>96</v>
      </c>
      <c r="D12" s="5">
        <v>96</v>
      </c>
      <c r="E12" s="5">
        <v>96</v>
      </c>
      <c r="F12" s="5">
        <v>96</v>
      </c>
      <c r="G12" s="5">
        <v>96</v>
      </c>
      <c r="H12" s="9">
        <f t="shared" ref="H12:H17" si="2">SUM(B12:G12)</f>
        <v>480</v>
      </c>
      <c r="I12" s="10"/>
    </row>
    <row r="13" spans="2:11" x14ac:dyDescent="0.25">
      <c r="B13" s="3" t="s">
        <v>7</v>
      </c>
      <c r="C13" s="5">
        <v>58</v>
      </c>
      <c r="D13" s="5">
        <v>58</v>
      </c>
      <c r="E13" s="5">
        <v>58</v>
      </c>
      <c r="F13" s="5">
        <v>58</v>
      </c>
      <c r="G13" s="5">
        <v>58</v>
      </c>
      <c r="H13" s="9">
        <f t="shared" si="2"/>
        <v>290</v>
      </c>
      <c r="I13" s="10"/>
    </row>
    <row r="14" spans="2:11" x14ac:dyDescent="0.25">
      <c r="B14" s="3" t="s">
        <v>8</v>
      </c>
      <c r="C14" s="5">
        <v>64</v>
      </c>
      <c r="D14" s="5">
        <v>64</v>
      </c>
      <c r="E14" s="5">
        <v>64</v>
      </c>
      <c r="F14" s="5">
        <v>64</v>
      </c>
      <c r="G14" s="5">
        <v>64</v>
      </c>
      <c r="H14" s="9">
        <f t="shared" si="2"/>
        <v>320</v>
      </c>
      <c r="I14" s="10"/>
    </row>
    <row r="15" spans="2:11" x14ac:dyDescent="0.25">
      <c r="B15" s="3" t="s">
        <v>3</v>
      </c>
      <c r="C15" s="5">
        <v>96</v>
      </c>
      <c r="D15" s="5">
        <v>96</v>
      </c>
      <c r="E15" s="5">
        <v>96</v>
      </c>
      <c r="F15" s="5">
        <v>96</v>
      </c>
      <c r="G15" s="5">
        <v>96</v>
      </c>
      <c r="H15" s="9">
        <f t="shared" si="2"/>
        <v>480</v>
      </c>
      <c r="I15" s="10"/>
      <c r="K15" s="38"/>
    </row>
    <row r="16" spans="2:11" x14ac:dyDescent="0.25">
      <c r="B16" s="3" t="s">
        <v>4</v>
      </c>
      <c r="C16" s="5">
        <v>20</v>
      </c>
      <c r="D16" s="5">
        <v>20</v>
      </c>
      <c r="E16" s="5">
        <v>20</v>
      </c>
      <c r="F16" s="5">
        <v>20</v>
      </c>
      <c r="G16" s="5">
        <v>20</v>
      </c>
      <c r="H16" s="9">
        <f t="shared" si="2"/>
        <v>100</v>
      </c>
      <c r="I16" s="10"/>
    </row>
    <row r="17" spans="2:11" x14ac:dyDescent="0.25">
      <c r="B17" s="3" t="s">
        <v>5</v>
      </c>
      <c r="C17" s="5">
        <v>116</v>
      </c>
      <c r="D17" s="5">
        <v>116</v>
      </c>
      <c r="E17" s="5">
        <v>116</v>
      </c>
      <c r="F17" s="5">
        <v>116</v>
      </c>
      <c r="G17" s="5">
        <v>116</v>
      </c>
      <c r="H17" s="9">
        <f t="shared" si="2"/>
        <v>580</v>
      </c>
      <c r="I17" s="10"/>
    </row>
    <row r="18" spans="2:11" x14ac:dyDescent="0.25">
      <c r="B18" s="8" t="s">
        <v>6</v>
      </c>
      <c r="C18" s="9">
        <f>SUM(C11:C17)</f>
        <v>878</v>
      </c>
      <c r="D18" s="9">
        <f t="shared" ref="D18:G18" si="3">SUM(D11:D17)</f>
        <v>878</v>
      </c>
      <c r="E18" s="9">
        <f t="shared" si="3"/>
        <v>878</v>
      </c>
      <c r="F18" s="9">
        <f t="shared" si="3"/>
        <v>878</v>
      </c>
      <c r="G18" s="9">
        <f t="shared" si="3"/>
        <v>878</v>
      </c>
      <c r="H18" s="47">
        <f t="shared" ref="H18" si="4">SUM(H10:H17)</f>
        <v>4390</v>
      </c>
      <c r="I18" s="18" t="s">
        <v>34</v>
      </c>
      <c r="K18" s="37"/>
    </row>
    <row r="19" spans="2:11" ht="15" customHeight="1" x14ac:dyDescent="0.25">
      <c r="B19" s="86" t="s">
        <v>30</v>
      </c>
      <c r="C19" s="87"/>
      <c r="D19" s="87"/>
      <c r="E19" s="87"/>
      <c r="F19" s="87"/>
      <c r="G19" s="87"/>
      <c r="H19" s="87"/>
    </row>
  </sheetData>
  <sheetProtection algorithmName="SHA-512" hashValue="UbGFkSwFbBaELj+EN9DZK/cauA4t2L0ArVEXr3BQ9Kkp1hdhXafAFvBGA+s4VrQutOnXaW/+w5g+H39hLO/jgA==" saltValue="OLXhXSynNZ6KoGv5JcLQ4w==" spinCount="100000" sheet="1" objects="1" scenarios="1" selectLockedCells="1" selectUnlockedCells="1"/>
  <mergeCells count="1">
    <mergeCell ref="B19:H19"/>
  </mergeCells>
  <phoneticPr fontId="3"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304C-96B8-4623-8147-7FBAAB8BF752}">
  <dimension ref="A1:N21"/>
  <sheetViews>
    <sheetView workbookViewId="0">
      <selection activeCell="F14" sqref="F14"/>
    </sheetView>
  </sheetViews>
  <sheetFormatPr defaultRowHeight="15" x14ac:dyDescent="0.25"/>
  <cols>
    <col min="1" max="1" width="3.85546875" customWidth="1"/>
    <col min="2" max="2" width="27" customWidth="1"/>
    <col min="3" max="3" width="50.28515625" customWidth="1"/>
    <col min="4" max="4" width="12" customWidth="1"/>
    <col min="5" max="5" width="9.28515625" bestFit="1" customWidth="1"/>
    <col min="6" max="6" width="10.7109375" bestFit="1" customWidth="1"/>
    <col min="7" max="7" width="10.28515625" customWidth="1"/>
    <col min="8" max="9" width="9.28515625" bestFit="1" customWidth="1"/>
    <col min="10" max="10" width="10.7109375" bestFit="1" customWidth="1"/>
    <col min="11" max="11" width="55.7109375" customWidth="1"/>
    <col min="12" max="12" width="9.140625" style="28"/>
  </cols>
  <sheetData>
    <row r="1" spans="1:14" x14ac:dyDescent="0.25">
      <c r="B1" s="17" t="s">
        <v>54</v>
      </c>
    </row>
    <row r="2" spans="1:14" ht="25.5" x14ac:dyDescent="0.25">
      <c r="A2" s="19"/>
      <c r="B2" s="21" t="s">
        <v>16</v>
      </c>
      <c r="C2" s="22" t="s">
        <v>14</v>
      </c>
      <c r="D2" s="23" t="s">
        <v>0</v>
      </c>
      <c r="E2" s="23" t="s">
        <v>1</v>
      </c>
      <c r="F2" s="23" t="s">
        <v>28</v>
      </c>
      <c r="G2" s="23" t="s">
        <v>3</v>
      </c>
      <c r="H2" s="23" t="s">
        <v>4</v>
      </c>
      <c r="I2" s="23" t="s">
        <v>5</v>
      </c>
      <c r="J2" s="23" t="s">
        <v>6</v>
      </c>
      <c r="K2" s="22" t="s">
        <v>10</v>
      </c>
      <c r="L2" s="27"/>
      <c r="M2" s="26"/>
      <c r="N2" s="26"/>
    </row>
    <row r="3" spans="1:14" ht="25.5" x14ac:dyDescent="0.25">
      <c r="A3" s="19"/>
      <c r="B3" s="89" t="s">
        <v>13</v>
      </c>
      <c r="C3" s="20" t="s">
        <v>20</v>
      </c>
      <c r="D3" s="29">
        <v>4963</v>
      </c>
      <c r="E3" s="29">
        <v>747</v>
      </c>
      <c r="F3" s="29">
        <v>1646</v>
      </c>
      <c r="G3" s="29">
        <v>802</v>
      </c>
      <c r="H3" s="29">
        <v>264</v>
      </c>
      <c r="I3" s="29">
        <v>1246</v>
      </c>
      <c r="J3" s="29">
        <f>SUM(D3:I3)</f>
        <v>9668</v>
      </c>
      <c r="K3" s="56" t="s">
        <v>99</v>
      </c>
      <c r="L3" s="27"/>
      <c r="M3" s="26"/>
      <c r="N3" s="26"/>
    </row>
    <row r="4" spans="1:14" ht="24" x14ac:dyDescent="0.25">
      <c r="A4" s="19"/>
      <c r="B4" s="90"/>
      <c r="C4" s="20" t="s">
        <v>64</v>
      </c>
      <c r="D4" s="76">
        <v>138</v>
      </c>
      <c r="E4" s="29">
        <v>37</v>
      </c>
      <c r="F4" s="29">
        <v>72</v>
      </c>
      <c r="G4" s="29">
        <v>40</v>
      </c>
      <c r="H4" s="29">
        <v>16</v>
      </c>
      <c r="I4" s="29">
        <v>0</v>
      </c>
      <c r="J4" s="29">
        <f>SUM(D4:I4)</f>
        <v>303</v>
      </c>
      <c r="K4" s="56" t="s">
        <v>69</v>
      </c>
      <c r="L4" s="27"/>
      <c r="M4" s="26"/>
      <c r="N4" s="26"/>
    </row>
    <row r="5" spans="1:14" x14ac:dyDescent="0.25">
      <c r="A5" s="19"/>
      <c r="B5" s="91"/>
      <c r="C5" s="20" t="s">
        <v>65</v>
      </c>
      <c r="D5" s="29">
        <f t="shared" ref="D5:I5" si="0">D3-D4</f>
        <v>4825</v>
      </c>
      <c r="E5" s="29">
        <f t="shared" si="0"/>
        <v>710</v>
      </c>
      <c r="F5" s="29">
        <f t="shared" si="0"/>
        <v>1574</v>
      </c>
      <c r="G5" s="29">
        <f t="shared" si="0"/>
        <v>762</v>
      </c>
      <c r="H5" s="29">
        <f t="shared" si="0"/>
        <v>248</v>
      </c>
      <c r="I5" s="29">
        <f t="shared" si="0"/>
        <v>1246</v>
      </c>
      <c r="J5" s="29">
        <f>SUM(D5:I5)</f>
        <v>9365</v>
      </c>
      <c r="K5" s="56" t="s">
        <v>67</v>
      </c>
      <c r="L5" s="27"/>
      <c r="M5" s="26"/>
      <c r="N5" s="26"/>
    </row>
    <row r="6" spans="1:14" ht="69" customHeight="1" x14ac:dyDescent="0.25">
      <c r="A6" s="19"/>
      <c r="B6" s="88" t="s">
        <v>79</v>
      </c>
      <c r="C6" s="70" t="s">
        <v>18</v>
      </c>
      <c r="D6" s="24">
        <v>420</v>
      </c>
      <c r="E6" s="24">
        <v>88</v>
      </c>
      <c r="F6" s="41">
        <v>325</v>
      </c>
      <c r="G6" s="24">
        <v>100</v>
      </c>
      <c r="H6" s="24">
        <v>32</v>
      </c>
      <c r="I6" s="24">
        <v>210</v>
      </c>
      <c r="J6" s="24">
        <f>SUM(D6:I6)</f>
        <v>1175</v>
      </c>
      <c r="K6" s="57" t="s">
        <v>71</v>
      </c>
      <c r="L6" s="27"/>
      <c r="M6" s="26"/>
      <c r="N6" s="26"/>
    </row>
    <row r="7" spans="1:14" ht="25.5" x14ac:dyDescent="0.25">
      <c r="A7" s="19"/>
      <c r="B7" s="88"/>
      <c r="C7" s="33" t="s">
        <v>17</v>
      </c>
      <c r="D7" s="34">
        <v>0.65869999999999995</v>
      </c>
      <c r="E7" s="34">
        <v>0.5968</v>
      </c>
      <c r="F7" s="34">
        <v>0.39500000000000002</v>
      </c>
      <c r="G7" s="34">
        <v>0.56120000000000003</v>
      </c>
      <c r="H7" s="34">
        <v>0.4456</v>
      </c>
      <c r="I7" s="34">
        <v>0.4793</v>
      </c>
      <c r="J7" s="32"/>
      <c r="K7" s="57" t="s">
        <v>70</v>
      </c>
      <c r="L7" s="27"/>
      <c r="M7" s="26"/>
      <c r="N7" s="26"/>
    </row>
    <row r="8" spans="1:14" ht="24" x14ac:dyDescent="0.25">
      <c r="A8" s="19"/>
      <c r="B8" s="88"/>
      <c r="C8" s="35" t="s">
        <v>19</v>
      </c>
      <c r="D8" s="36">
        <f t="shared" ref="D8:I8" si="1">D6*D7</f>
        <v>276.654</v>
      </c>
      <c r="E8" s="36">
        <f t="shared" si="1"/>
        <v>52.5184</v>
      </c>
      <c r="F8" s="36">
        <f t="shared" si="1"/>
        <v>128.375</v>
      </c>
      <c r="G8" s="36">
        <f t="shared" si="1"/>
        <v>56.120000000000005</v>
      </c>
      <c r="H8" s="36">
        <f t="shared" si="1"/>
        <v>14.2592</v>
      </c>
      <c r="I8" s="36">
        <f t="shared" si="1"/>
        <v>100.65300000000001</v>
      </c>
      <c r="J8" s="36">
        <f>SUM(D8:I8)</f>
        <v>628.57960000000003</v>
      </c>
      <c r="K8" s="57" t="s">
        <v>68</v>
      </c>
      <c r="L8" s="27"/>
      <c r="M8" s="26"/>
      <c r="N8" s="26"/>
    </row>
    <row r="9" spans="1:14" ht="24" x14ac:dyDescent="0.25">
      <c r="A9" s="19"/>
      <c r="B9" s="25" t="s">
        <v>78</v>
      </c>
      <c r="C9" s="33" t="s">
        <v>53</v>
      </c>
      <c r="D9" s="29">
        <v>200</v>
      </c>
      <c r="E9" s="29">
        <v>131</v>
      </c>
      <c r="F9" s="29">
        <v>332</v>
      </c>
      <c r="G9" s="29">
        <v>288</v>
      </c>
      <c r="H9" s="29">
        <v>103</v>
      </c>
      <c r="I9" s="29">
        <v>0</v>
      </c>
      <c r="J9" s="36">
        <f>SUM(D9:I9)</f>
        <v>1054</v>
      </c>
      <c r="K9" s="56" t="s">
        <v>96</v>
      </c>
      <c r="L9" s="27"/>
      <c r="M9" s="26"/>
      <c r="N9" s="26"/>
    </row>
    <row r="10" spans="1:14" x14ac:dyDescent="0.25">
      <c r="A10" s="19"/>
      <c r="B10" s="30" t="s">
        <v>6</v>
      </c>
      <c r="C10" s="31"/>
      <c r="D10" s="40">
        <f t="shared" ref="D10:J10" si="2">SUM(D9,D8,D5)</f>
        <v>5301.6540000000005</v>
      </c>
      <c r="E10" s="40">
        <f t="shared" si="2"/>
        <v>893.51839999999993</v>
      </c>
      <c r="F10" s="40">
        <f t="shared" si="2"/>
        <v>2034.375</v>
      </c>
      <c r="G10" s="40">
        <f t="shared" si="2"/>
        <v>1106.1199999999999</v>
      </c>
      <c r="H10" s="40">
        <f t="shared" si="2"/>
        <v>365.25919999999996</v>
      </c>
      <c r="I10" s="40">
        <f t="shared" si="2"/>
        <v>1346.653</v>
      </c>
      <c r="J10" s="40">
        <f t="shared" si="2"/>
        <v>11047.579600000001</v>
      </c>
      <c r="K10" s="12"/>
      <c r="L10" s="27"/>
      <c r="M10" s="26"/>
      <c r="N10" s="26"/>
    </row>
    <row r="11" spans="1:14" x14ac:dyDescent="0.25">
      <c r="D11" s="72"/>
      <c r="F11" s="38"/>
    </row>
    <row r="12" spans="1:14" x14ac:dyDescent="0.25">
      <c r="B12" s="17" t="s">
        <v>91</v>
      </c>
    </row>
    <row r="13" spans="1:14" ht="25.5" x14ac:dyDescent="0.25">
      <c r="B13" s="21" t="s">
        <v>16</v>
      </c>
      <c r="C13" s="22" t="s">
        <v>14</v>
      </c>
      <c r="D13" s="23" t="s">
        <v>0</v>
      </c>
      <c r="E13" s="23" t="s">
        <v>1</v>
      </c>
      <c r="F13" s="23" t="s">
        <v>92</v>
      </c>
      <c r="G13" s="23" t="s">
        <v>3</v>
      </c>
      <c r="H13" s="23" t="s">
        <v>4</v>
      </c>
      <c r="I13" s="23" t="s">
        <v>5</v>
      </c>
      <c r="J13" s="23" t="s">
        <v>6</v>
      </c>
      <c r="K13" s="22" t="s">
        <v>10</v>
      </c>
    </row>
    <row r="14" spans="1:14" ht="25.5" x14ac:dyDescent="0.25">
      <c r="B14" s="89" t="s">
        <v>13</v>
      </c>
      <c r="C14" s="20" t="s">
        <v>20</v>
      </c>
      <c r="D14" s="29">
        <v>4963</v>
      </c>
      <c r="E14" s="29">
        <v>747</v>
      </c>
      <c r="F14" s="29">
        <f>F3*79.13%</f>
        <v>1302.4798000000001</v>
      </c>
      <c r="G14" s="29">
        <v>802</v>
      </c>
      <c r="H14" s="29">
        <v>264</v>
      </c>
      <c r="I14" s="29">
        <v>1246</v>
      </c>
      <c r="J14" s="29">
        <f>SUM(D14:I14)</f>
        <v>9324.479800000001</v>
      </c>
      <c r="K14" s="56" t="s">
        <v>99</v>
      </c>
    </row>
    <row r="15" spans="1:14" ht="24" x14ac:dyDescent="0.25">
      <c r="B15" s="90"/>
      <c r="C15" s="20" t="s">
        <v>64</v>
      </c>
      <c r="D15" s="76">
        <f>D4</f>
        <v>138</v>
      </c>
      <c r="E15" s="76">
        <f>E4</f>
        <v>37</v>
      </c>
      <c r="F15" s="29">
        <f>F4*79.13%</f>
        <v>56.973599999999998</v>
      </c>
      <c r="G15" s="29">
        <f>G4</f>
        <v>40</v>
      </c>
      <c r="H15" s="29">
        <f t="shared" ref="H15:I15" si="3">H4</f>
        <v>16</v>
      </c>
      <c r="I15" s="29">
        <f t="shared" si="3"/>
        <v>0</v>
      </c>
      <c r="J15" s="29">
        <f>SUM(D15:I15)</f>
        <v>287.97360000000003</v>
      </c>
      <c r="K15" s="56" t="s">
        <v>69</v>
      </c>
    </row>
    <row r="16" spans="1:14" x14ac:dyDescent="0.25">
      <c r="B16" s="91"/>
      <c r="C16" s="20" t="s">
        <v>65</v>
      </c>
      <c r="D16" s="29">
        <f t="shared" ref="D16:I16" si="4">D14-D15</f>
        <v>4825</v>
      </c>
      <c r="E16" s="29">
        <f t="shared" si="4"/>
        <v>710</v>
      </c>
      <c r="F16" s="29">
        <f t="shared" si="4"/>
        <v>1245.5062</v>
      </c>
      <c r="G16" s="29">
        <f t="shared" si="4"/>
        <v>762</v>
      </c>
      <c r="H16" s="29">
        <f t="shared" si="4"/>
        <v>248</v>
      </c>
      <c r="I16" s="29">
        <f t="shared" si="4"/>
        <v>1246</v>
      </c>
      <c r="J16" s="29">
        <f>SUM(D16:I16)</f>
        <v>9036.5061999999998</v>
      </c>
      <c r="K16" s="56" t="s">
        <v>67</v>
      </c>
    </row>
    <row r="17" spans="2:11" ht="60" x14ac:dyDescent="0.25">
      <c r="B17" s="88" t="s">
        <v>79</v>
      </c>
      <c r="C17" s="70" t="s">
        <v>18</v>
      </c>
      <c r="D17" s="24">
        <v>420</v>
      </c>
      <c r="E17" s="24">
        <v>88</v>
      </c>
      <c r="F17" s="41">
        <f>F6*79.13%</f>
        <v>257.17250000000001</v>
      </c>
      <c r="G17" s="24">
        <v>100</v>
      </c>
      <c r="H17" s="24">
        <v>32</v>
      </c>
      <c r="I17" s="24">
        <v>210</v>
      </c>
      <c r="J17" s="24">
        <f>SUM(D17:I17)</f>
        <v>1107.1725000000001</v>
      </c>
      <c r="K17" s="57" t="s">
        <v>71</v>
      </c>
    </row>
    <row r="18" spans="2:11" ht="25.5" x14ac:dyDescent="0.25">
      <c r="B18" s="88"/>
      <c r="C18" s="33" t="s">
        <v>17</v>
      </c>
      <c r="D18" s="34">
        <v>0.65869999999999995</v>
      </c>
      <c r="E18" s="34">
        <v>0.5968</v>
      </c>
      <c r="F18" s="34">
        <v>0.36990000000000001</v>
      </c>
      <c r="G18" s="34">
        <v>0.56120000000000003</v>
      </c>
      <c r="H18" s="34">
        <v>0.4456</v>
      </c>
      <c r="I18" s="34">
        <v>0.4793</v>
      </c>
      <c r="J18" s="32"/>
      <c r="K18" s="57" t="s">
        <v>70</v>
      </c>
    </row>
    <row r="19" spans="2:11" ht="24" x14ac:dyDescent="0.25">
      <c r="B19" s="88"/>
      <c r="C19" s="35" t="s">
        <v>19</v>
      </c>
      <c r="D19" s="36">
        <f t="shared" ref="D19:I19" si="5">D17*D18</f>
        <v>276.654</v>
      </c>
      <c r="E19" s="36">
        <f t="shared" si="5"/>
        <v>52.5184</v>
      </c>
      <c r="F19" s="36">
        <f t="shared" si="5"/>
        <v>95.128107750000012</v>
      </c>
      <c r="G19" s="36">
        <f t="shared" si="5"/>
        <v>56.120000000000005</v>
      </c>
      <c r="H19" s="36">
        <f t="shared" si="5"/>
        <v>14.2592</v>
      </c>
      <c r="I19" s="36">
        <f t="shared" si="5"/>
        <v>100.65300000000001</v>
      </c>
      <c r="J19" s="36">
        <f>SUM(D19:I19)</f>
        <v>595.33270775000005</v>
      </c>
      <c r="K19" s="57" t="s">
        <v>68</v>
      </c>
    </row>
    <row r="20" spans="2:11" ht="24" x14ac:dyDescent="0.25">
      <c r="B20" s="25" t="s">
        <v>78</v>
      </c>
      <c r="C20" s="33" t="s">
        <v>53</v>
      </c>
      <c r="D20" s="29">
        <v>200</v>
      </c>
      <c r="E20" s="29">
        <v>131</v>
      </c>
      <c r="F20" s="29">
        <v>332</v>
      </c>
      <c r="G20" s="29">
        <v>288</v>
      </c>
      <c r="H20" s="29">
        <v>103</v>
      </c>
      <c r="I20" s="29">
        <v>0</v>
      </c>
      <c r="J20" s="36">
        <f>SUM(D20:I20)</f>
        <v>1054</v>
      </c>
      <c r="K20" s="56" t="s">
        <v>96</v>
      </c>
    </row>
    <row r="21" spans="2:11" x14ac:dyDescent="0.25">
      <c r="B21" s="30" t="s">
        <v>6</v>
      </c>
      <c r="C21" s="31"/>
      <c r="D21" s="40">
        <f t="shared" ref="D21:J21" si="6">SUM(D20,D19,D16)</f>
        <v>5301.6540000000005</v>
      </c>
      <c r="E21" s="40">
        <f t="shared" si="6"/>
        <v>893.51839999999993</v>
      </c>
      <c r="F21" s="40">
        <f t="shared" si="6"/>
        <v>1672.6343077500001</v>
      </c>
      <c r="G21" s="40">
        <f t="shared" si="6"/>
        <v>1106.1199999999999</v>
      </c>
      <c r="H21" s="40">
        <f t="shared" si="6"/>
        <v>365.25919999999996</v>
      </c>
      <c r="I21" s="40">
        <f t="shared" si="6"/>
        <v>1346.653</v>
      </c>
      <c r="J21" s="40">
        <f t="shared" si="6"/>
        <v>10685.83890775</v>
      </c>
      <c r="K21" s="12"/>
    </row>
  </sheetData>
  <sheetProtection algorithmName="SHA-512" hashValue="9JiS+HmPthsxd7nUtUQKo4cALL/4hDTfTTztQAqZN1C/MJlOVNMI5MY4dGyzSGynub2JdfyD10L9a+fF9vjSyg==" saltValue="B2qKv6Ss6Xcc+xpz1E2orw==" spinCount="100000" sheet="1" objects="1" scenarios="1" selectLockedCells="1" selectUnlockedCells="1"/>
  <mergeCells count="4">
    <mergeCell ref="B6:B8"/>
    <mergeCell ref="B3:B5"/>
    <mergeCell ref="B14:B16"/>
    <mergeCell ref="B17:B19"/>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56B89-A81F-4222-9E5E-13E6E97EACAD}">
  <sheetPr>
    <tabColor rgb="FF00B050"/>
  </sheetPr>
  <dimension ref="B1:L21"/>
  <sheetViews>
    <sheetView workbookViewId="0">
      <selection activeCell="H2" sqref="H2"/>
    </sheetView>
  </sheetViews>
  <sheetFormatPr defaultRowHeight="15" x14ac:dyDescent="0.25"/>
  <cols>
    <col min="2" max="2" width="26.42578125" customWidth="1"/>
    <col min="3" max="3" width="37.140625" customWidth="1"/>
    <col min="4" max="8" width="9.140625" customWidth="1"/>
    <col min="11" max="11" width="53.140625" customWidth="1"/>
  </cols>
  <sheetData>
    <row r="1" spans="2:12" x14ac:dyDescent="0.25">
      <c r="B1" s="17" t="s">
        <v>97</v>
      </c>
      <c r="L1" s="28"/>
    </row>
    <row r="2" spans="2:12" ht="25.5" x14ac:dyDescent="0.25">
      <c r="B2" s="21" t="s">
        <v>16</v>
      </c>
      <c r="C2" s="22" t="s">
        <v>14</v>
      </c>
      <c r="D2" s="23" t="s">
        <v>0</v>
      </c>
      <c r="E2" s="23" t="s">
        <v>1</v>
      </c>
      <c r="F2" s="23" t="s">
        <v>50</v>
      </c>
      <c r="G2" s="23" t="s">
        <v>3</v>
      </c>
      <c r="H2" s="23" t="s">
        <v>4</v>
      </c>
      <c r="I2" s="23" t="s">
        <v>5</v>
      </c>
      <c r="J2" s="23" t="s">
        <v>6</v>
      </c>
      <c r="K2" s="22" t="s">
        <v>10</v>
      </c>
      <c r="L2" s="28"/>
    </row>
    <row r="3" spans="2:12" ht="25.5" x14ac:dyDescent="0.25">
      <c r="B3" s="89" t="s">
        <v>13</v>
      </c>
      <c r="C3" s="20" t="s">
        <v>75</v>
      </c>
      <c r="D3" s="41">
        <v>4963</v>
      </c>
      <c r="E3" s="41">
        <v>747</v>
      </c>
      <c r="F3" s="41">
        <v>1646</v>
      </c>
      <c r="G3" s="41">
        <v>802</v>
      </c>
      <c r="H3" s="41">
        <v>264</v>
      </c>
      <c r="I3" s="41">
        <v>1246</v>
      </c>
      <c r="J3" s="41">
        <f>SUM(D3:I3)</f>
        <v>9668</v>
      </c>
      <c r="K3" s="56" t="s">
        <v>99</v>
      </c>
      <c r="L3" s="28"/>
    </row>
    <row r="4" spans="2:12" ht="25.5" x14ac:dyDescent="0.25">
      <c r="B4" s="90"/>
      <c r="C4" s="20" t="s">
        <v>64</v>
      </c>
      <c r="D4" s="41">
        <v>138</v>
      </c>
      <c r="E4" s="41">
        <v>37</v>
      </c>
      <c r="F4" s="41">
        <v>72</v>
      </c>
      <c r="G4" s="41">
        <v>40</v>
      </c>
      <c r="H4" s="41">
        <v>16</v>
      </c>
      <c r="I4" s="41">
        <v>0</v>
      </c>
      <c r="J4" s="41">
        <f>SUM(D4:I4)</f>
        <v>303</v>
      </c>
      <c r="K4" s="56" t="s">
        <v>69</v>
      </c>
      <c r="L4" s="28"/>
    </row>
    <row r="5" spans="2:12" x14ac:dyDescent="0.25">
      <c r="B5" s="91"/>
      <c r="C5" s="20" t="s">
        <v>65</v>
      </c>
      <c r="D5" s="29">
        <f t="shared" ref="D5:I5" si="0">D3-D4</f>
        <v>4825</v>
      </c>
      <c r="E5" s="29">
        <f t="shared" si="0"/>
        <v>710</v>
      </c>
      <c r="F5" s="29">
        <f t="shared" si="0"/>
        <v>1574</v>
      </c>
      <c r="G5" s="29">
        <f t="shared" si="0"/>
        <v>762</v>
      </c>
      <c r="H5" s="29">
        <f t="shared" si="0"/>
        <v>248</v>
      </c>
      <c r="I5" s="29">
        <f t="shared" si="0"/>
        <v>1246</v>
      </c>
      <c r="J5" s="29">
        <f>SUM(D5:I5)</f>
        <v>9365</v>
      </c>
      <c r="K5" s="56" t="s">
        <v>67</v>
      </c>
      <c r="L5" s="28"/>
    </row>
    <row r="6" spans="2:12" ht="84" x14ac:dyDescent="0.25">
      <c r="B6" s="74" t="s">
        <v>79</v>
      </c>
      <c r="C6" s="70" t="s">
        <v>18</v>
      </c>
      <c r="D6" s="29">
        <v>274</v>
      </c>
      <c r="E6" s="29">
        <v>57</v>
      </c>
      <c r="F6" s="29">
        <v>216</v>
      </c>
      <c r="G6" s="29">
        <v>64</v>
      </c>
      <c r="H6" s="29">
        <f>'Option 1 HoTOC Existing'!G6</f>
        <v>22</v>
      </c>
      <c r="I6" s="29">
        <v>139</v>
      </c>
      <c r="J6" s="29">
        <f>SUM(D6:I6)</f>
        <v>772</v>
      </c>
      <c r="K6" s="71" t="s">
        <v>86</v>
      </c>
      <c r="L6" s="28"/>
    </row>
    <row r="7" spans="2:12" ht="25.5" x14ac:dyDescent="0.25">
      <c r="B7" s="25" t="s">
        <v>78</v>
      </c>
      <c r="C7" s="33" t="s">
        <v>53</v>
      </c>
      <c r="D7" s="29">
        <v>200</v>
      </c>
      <c r="E7" s="29">
        <v>74</v>
      </c>
      <c r="F7" s="29">
        <v>332</v>
      </c>
      <c r="G7" s="29">
        <v>288</v>
      </c>
      <c r="H7" s="29">
        <v>103</v>
      </c>
      <c r="I7" s="29">
        <v>0</v>
      </c>
      <c r="J7" s="29">
        <f>SUM(D7:I7)</f>
        <v>997</v>
      </c>
      <c r="K7" s="56" t="s">
        <v>96</v>
      </c>
      <c r="L7" s="28"/>
    </row>
    <row r="8" spans="2:12" x14ac:dyDescent="0.25">
      <c r="B8" s="30" t="s">
        <v>6</v>
      </c>
      <c r="C8" s="31"/>
      <c r="D8" s="40">
        <f t="shared" ref="D8:J8" si="1">SUM(D5:D7)</f>
        <v>5299</v>
      </c>
      <c r="E8" s="40">
        <f t="shared" si="1"/>
        <v>841</v>
      </c>
      <c r="F8" s="40">
        <f t="shared" si="1"/>
        <v>2122</v>
      </c>
      <c r="G8" s="40">
        <f t="shared" si="1"/>
        <v>1114</v>
      </c>
      <c r="H8" s="40">
        <f t="shared" si="1"/>
        <v>373</v>
      </c>
      <c r="I8" s="40">
        <f t="shared" si="1"/>
        <v>1385</v>
      </c>
      <c r="J8" s="40">
        <f t="shared" si="1"/>
        <v>11134</v>
      </c>
      <c r="K8" s="12"/>
      <c r="L8" s="28"/>
    </row>
    <row r="9" spans="2:12" x14ac:dyDescent="0.25">
      <c r="D9" s="72"/>
      <c r="L9" s="28"/>
    </row>
    <row r="10" spans="2:12" x14ac:dyDescent="0.25">
      <c r="B10" s="81" t="s">
        <v>98</v>
      </c>
      <c r="C10" s="82"/>
      <c r="D10" s="82"/>
      <c r="E10" s="82"/>
      <c r="F10" s="82"/>
      <c r="G10" s="82"/>
      <c r="L10" s="28"/>
    </row>
    <row r="11" spans="2:12" ht="25.5" x14ac:dyDescent="0.25">
      <c r="B11" s="21" t="s">
        <v>16</v>
      </c>
      <c r="C11" s="22" t="s">
        <v>14</v>
      </c>
      <c r="D11" s="23" t="s">
        <v>0</v>
      </c>
      <c r="E11" s="23" t="s">
        <v>1</v>
      </c>
      <c r="F11" s="23" t="s">
        <v>92</v>
      </c>
      <c r="G11" s="23" t="s">
        <v>3</v>
      </c>
      <c r="H11" s="23" t="s">
        <v>4</v>
      </c>
      <c r="I11" s="23" t="s">
        <v>5</v>
      </c>
      <c r="J11" s="23" t="s">
        <v>6</v>
      </c>
      <c r="K11" s="22" t="s">
        <v>10</v>
      </c>
      <c r="L11" s="28"/>
    </row>
    <row r="12" spans="2:12" ht="25.5" x14ac:dyDescent="0.25">
      <c r="B12" s="89" t="s">
        <v>13</v>
      </c>
      <c r="C12" s="20" t="s">
        <v>75</v>
      </c>
      <c r="D12" s="41">
        <v>4963</v>
      </c>
      <c r="E12" s="41">
        <f t="shared" ref="E12:I12" si="2">E3</f>
        <v>747</v>
      </c>
      <c r="F12" s="41">
        <f>F3*79.13%</f>
        <v>1302.4798000000001</v>
      </c>
      <c r="G12" s="41">
        <f t="shared" si="2"/>
        <v>802</v>
      </c>
      <c r="H12" s="41">
        <f t="shared" si="2"/>
        <v>264</v>
      </c>
      <c r="I12" s="41">
        <f t="shared" si="2"/>
        <v>1246</v>
      </c>
      <c r="J12" s="41">
        <f>SUM(D12:I12)</f>
        <v>9324.479800000001</v>
      </c>
      <c r="K12" s="56" t="s">
        <v>99</v>
      </c>
      <c r="L12" s="28"/>
    </row>
    <row r="13" spans="2:12" ht="25.5" x14ac:dyDescent="0.25">
      <c r="B13" s="90"/>
      <c r="C13" s="20" t="s">
        <v>64</v>
      </c>
      <c r="D13" s="41">
        <f t="shared" ref="D13:I13" si="3">D4</f>
        <v>138</v>
      </c>
      <c r="E13" s="41">
        <f t="shared" si="3"/>
        <v>37</v>
      </c>
      <c r="F13" s="41">
        <f t="shared" ref="F13:F17" si="4">F4*79.13%</f>
        <v>56.973599999999998</v>
      </c>
      <c r="G13" s="41">
        <f t="shared" si="3"/>
        <v>40</v>
      </c>
      <c r="H13" s="41">
        <f t="shared" si="3"/>
        <v>16</v>
      </c>
      <c r="I13" s="41">
        <f t="shared" si="3"/>
        <v>0</v>
      </c>
      <c r="J13" s="41">
        <f t="shared" ref="J13:J17" si="5">SUM(D13:I13)</f>
        <v>287.97360000000003</v>
      </c>
      <c r="K13" s="56" t="s">
        <v>69</v>
      </c>
      <c r="L13" s="28"/>
    </row>
    <row r="14" spans="2:12" x14ac:dyDescent="0.25">
      <c r="B14" s="91"/>
      <c r="C14" s="20" t="s">
        <v>65</v>
      </c>
      <c r="D14" s="29">
        <f t="shared" ref="D14:I14" si="6">D5</f>
        <v>4825</v>
      </c>
      <c r="E14" s="29">
        <f t="shared" si="6"/>
        <v>710</v>
      </c>
      <c r="F14" s="29">
        <f t="shared" si="4"/>
        <v>1245.5062</v>
      </c>
      <c r="G14" s="29">
        <f t="shared" si="6"/>
        <v>762</v>
      </c>
      <c r="H14" s="29">
        <f t="shared" si="6"/>
        <v>248</v>
      </c>
      <c r="I14" s="29">
        <f t="shared" si="6"/>
        <v>1246</v>
      </c>
      <c r="J14" s="29">
        <f t="shared" si="5"/>
        <v>9036.5061999999998</v>
      </c>
      <c r="K14" s="56" t="s">
        <v>67</v>
      </c>
      <c r="L14" s="28"/>
    </row>
    <row r="15" spans="2:12" ht="84" x14ac:dyDescent="0.25">
      <c r="B15" s="74" t="s">
        <v>79</v>
      </c>
      <c r="C15" s="70" t="s">
        <v>18</v>
      </c>
      <c r="D15" s="29">
        <f t="shared" ref="D15:I15" si="7">D6</f>
        <v>274</v>
      </c>
      <c r="E15" s="29">
        <f t="shared" si="7"/>
        <v>57</v>
      </c>
      <c r="F15" s="29">
        <f t="shared" si="4"/>
        <v>170.92080000000001</v>
      </c>
      <c r="G15" s="29">
        <f t="shared" si="7"/>
        <v>64</v>
      </c>
      <c r="H15" s="29">
        <f t="shared" si="7"/>
        <v>22</v>
      </c>
      <c r="I15" s="29">
        <f t="shared" si="7"/>
        <v>139</v>
      </c>
      <c r="J15" s="29">
        <f t="shared" si="5"/>
        <v>726.92079999999999</v>
      </c>
      <c r="K15" s="71" t="s">
        <v>86</v>
      </c>
      <c r="L15" s="28"/>
    </row>
    <row r="16" spans="2:12" ht="25.5" x14ac:dyDescent="0.25">
      <c r="B16" s="25" t="s">
        <v>78</v>
      </c>
      <c r="C16" s="33" t="s">
        <v>53</v>
      </c>
      <c r="D16" s="29">
        <v>200</v>
      </c>
      <c r="E16" s="29">
        <f t="shared" ref="E16:I16" si="8">E7</f>
        <v>74</v>
      </c>
      <c r="F16" s="29">
        <f t="shared" si="4"/>
        <v>262.71159999999998</v>
      </c>
      <c r="G16" s="29">
        <f t="shared" si="8"/>
        <v>288</v>
      </c>
      <c r="H16" s="29">
        <f t="shared" si="8"/>
        <v>103</v>
      </c>
      <c r="I16" s="29">
        <f t="shared" si="8"/>
        <v>0</v>
      </c>
      <c r="J16" s="29">
        <f t="shared" si="5"/>
        <v>927.71159999999998</v>
      </c>
      <c r="K16" s="56" t="s">
        <v>96</v>
      </c>
      <c r="L16" s="28"/>
    </row>
    <row r="17" spans="2:12" x14ac:dyDescent="0.25">
      <c r="B17" s="30" t="s">
        <v>6</v>
      </c>
      <c r="C17" s="31"/>
      <c r="D17" s="40">
        <f t="shared" ref="D17:I17" si="9">SUM(D14:D16)</f>
        <v>5299</v>
      </c>
      <c r="E17" s="40">
        <f t="shared" si="9"/>
        <v>841</v>
      </c>
      <c r="F17" s="80">
        <f t="shared" si="4"/>
        <v>1679.1386</v>
      </c>
      <c r="G17" s="40">
        <f t="shared" si="9"/>
        <v>1114</v>
      </c>
      <c r="H17" s="40">
        <f t="shared" si="9"/>
        <v>373</v>
      </c>
      <c r="I17" s="40">
        <f t="shared" si="9"/>
        <v>1385</v>
      </c>
      <c r="J17" s="80">
        <f t="shared" si="5"/>
        <v>10691.1386</v>
      </c>
      <c r="K17" s="12"/>
      <c r="L17" s="28"/>
    </row>
    <row r="18" spans="2:12" x14ac:dyDescent="0.25">
      <c r="L18" s="28"/>
    </row>
    <row r="19" spans="2:12" x14ac:dyDescent="0.25">
      <c r="L19" s="28"/>
    </row>
    <row r="20" spans="2:12" x14ac:dyDescent="0.25">
      <c r="L20" s="28"/>
    </row>
    <row r="21" spans="2:12" x14ac:dyDescent="0.25">
      <c r="L21" s="28"/>
    </row>
  </sheetData>
  <sheetProtection algorithmName="SHA-512" hashValue="AtvqQl3zirfN6FmLpSgEXBktRET44A85/iHhVijwtEYZ32yjPZOXz7MLPW7A7kaqh2l8ml2bkm8cRlW5oqM3BQ==" saltValue="7gfI6d4x55Wa49EP2Y35tw==" spinCount="100000" sheet="1" objects="1" scenarios="1" selectLockedCells="1" selectUnlockedCells="1"/>
  <mergeCells count="2">
    <mergeCell ref="B3:B5"/>
    <mergeCell ref="B12:B1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BCFB-7E39-4ECE-98CC-FEBF4EC1AC9E}">
  <dimension ref="B1:U32"/>
  <sheetViews>
    <sheetView workbookViewId="0">
      <selection activeCell="W10" sqref="W10"/>
    </sheetView>
  </sheetViews>
  <sheetFormatPr defaultRowHeight="15" x14ac:dyDescent="0.25"/>
  <cols>
    <col min="2" max="2" width="12.7109375" customWidth="1"/>
    <col min="10" max="10" width="11.85546875" customWidth="1"/>
  </cols>
  <sheetData>
    <row r="1" spans="2:21" x14ac:dyDescent="0.25">
      <c r="B1" s="17" t="s">
        <v>22</v>
      </c>
      <c r="C1" s="17"/>
      <c r="D1" s="17"/>
      <c r="E1" s="17"/>
      <c r="F1" s="17"/>
      <c r="G1" s="17"/>
      <c r="H1" s="17"/>
      <c r="I1" s="17"/>
      <c r="J1" s="17" t="s">
        <v>23</v>
      </c>
      <c r="K1" s="17"/>
      <c r="L1" s="17"/>
      <c r="M1" s="17"/>
    </row>
    <row r="2" spans="2:21" x14ac:dyDescent="0.25">
      <c r="B2" s="17"/>
      <c r="J2" s="17"/>
    </row>
    <row r="3" spans="2:21" x14ac:dyDescent="0.25">
      <c r="B3" s="17" t="s">
        <v>60</v>
      </c>
      <c r="J3" s="17" t="s">
        <v>60</v>
      </c>
    </row>
    <row r="4" spans="2:21" x14ac:dyDescent="0.25">
      <c r="B4" s="12"/>
      <c r="C4" s="16">
        <v>2020</v>
      </c>
      <c r="D4" s="16">
        <v>2021</v>
      </c>
      <c r="E4" s="16">
        <v>2022</v>
      </c>
      <c r="F4" s="16">
        <v>2023</v>
      </c>
      <c r="G4" s="16">
        <v>2024</v>
      </c>
      <c r="H4" s="16" t="s">
        <v>6</v>
      </c>
      <c r="J4" s="12"/>
      <c r="K4" s="16">
        <v>2020</v>
      </c>
      <c r="L4" s="16">
        <v>2021</v>
      </c>
      <c r="M4" s="16">
        <v>2022</v>
      </c>
      <c r="N4" s="16">
        <v>2023</v>
      </c>
      <c r="O4" s="16">
        <v>2024</v>
      </c>
      <c r="P4" s="16">
        <v>2025</v>
      </c>
      <c r="Q4" s="16">
        <v>2026</v>
      </c>
      <c r="R4" s="16">
        <v>2027</v>
      </c>
      <c r="S4" s="16">
        <v>2028</v>
      </c>
      <c r="T4" s="16">
        <v>2029</v>
      </c>
      <c r="U4" s="16" t="s">
        <v>6</v>
      </c>
    </row>
    <row r="5" spans="2:21" ht="30" x14ac:dyDescent="0.25">
      <c r="B5" s="39" t="s">
        <v>0</v>
      </c>
      <c r="C5" s="5">
        <v>428</v>
      </c>
      <c r="D5" s="5">
        <v>428</v>
      </c>
      <c r="E5" s="5">
        <v>428</v>
      </c>
      <c r="F5" s="5">
        <v>428</v>
      </c>
      <c r="G5" s="5">
        <v>428</v>
      </c>
      <c r="H5" s="9">
        <f>SUM(B5:G5)</f>
        <v>2140</v>
      </c>
      <c r="J5" s="39" t="s">
        <v>0</v>
      </c>
      <c r="K5" s="5">
        <f>U5/10</f>
        <v>214</v>
      </c>
      <c r="L5" s="5">
        <f>U5/10</f>
        <v>214</v>
      </c>
      <c r="M5" s="5">
        <f>U5/10</f>
        <v>214</v>
      </c>
      <c r="N5" s="5">
        <f>U5/10</f>
        <v>214</v>
      </c>
      <c r="O5" s="5">
        <f>U5/10</f>
        <v>214</v>
      </c>
      <c r="P5" s="5">
        <f>U5/10</f>
        <v>214</v>
      </c>
      <c r="Q5" s="5">
        <f>U5/10</f>
        <v>214</v>
      </c>
      <c r="R5" s="5">
        <f>U5/10</f>
        <v>214</v>
      </c>
      <c r="S5" s="5">
        <f>U5/10</f>
        <v>214</v>
      </c>
      <c r="T5" s="5">
        <f>U5/10</f>
        <v>214</v>
      </c>
      <c r="U5" s="9">
        <f>'Option 1 HoTOC Existing'!H11</f>
        <v>2140</v>
      </c>
    </row>
    <row r="6" spans="2:21" x14ac:dyDescent="0.25">
      <c r="B6" s="39" t="s">
        <v>1</v>
      </c>
      <c r="C6" s="5">
        <v>96</v>
      </c>
      <c r="D6" s="5">
        <v>96</v>
      </c>
      <c r="E6" s="5">
        <v>96</v>
      </c>
      <c r="F6" s="5">
        <v>96</v>
      </c>
      <c r="G6" s="5">
        <v>96</v>
      </c>
      <c r="H6" s="9">
        <f t="shared" ref="H6:H11" si="0">SUM(B6:G6)</f>
        <v>480</v>
      </c>
      <c r="J6" s="39" t="s">
        <v>1</v>
      </c>
      <c r="K6" s="5">
        <f t="shared" ref="K6:K12" si="1">U6/10</f>
        <v>48</v>
      </c>
      <c r="L6" s="5">
        <f t="shared" ref="L6:L12" si="2">U6/10</f>
        <v>48</v>
      </c>
      <c r="M6" s="5">
        <f t="shared" ref="M6:M12" si="3">U6/10</f>
        <v>48</v>
      </c>
      <c r="N6" s="5">
        <f t="shared" ref="N6:N12" si="4">U6/10</f>
        <v>48</v>
      </c>
      <c r="O6" s="5">
        <f t="shared" ref="O6:O12" si="5">U6/10</f>
        <v>48</v>
      </c>
      <c r="P6" s="5">
        <f t="shared" ref="P6:P12" si="6">U6/10</f>
        <v>48</v>
      </c>
      <c r="Q6" s="5">
        <f t="shared" ref="Q6:Q12" si="7">U6/10</f>
        <v>48</v>
      </c>
      <c r="R6" s="5">
        <f t="shared" ref="R6:R12" si="8">U6/10</f>
        <v>48</v>
      </c>
      <c r="S6" s="5">
        <f t="shared" ref="S6:S12" si="9">U6/10</f>
        <v>48</v>
      </c>
      <c r="T6" s="5">
        <f t="shared" ref="T6:T12" si="10">U6/10</f>
        <v>48</v>
      </c>
      <c r="U6" s="9">
        <f>'Option 1 HoTOC Existing'!H12</f>
        <v>480</v>
      </c>
    </row>
    <row r="7" spans="2:21" x14ac:dyDescent="0.25">
      <c r="B7" s="39" t="s">
        <v>7</v>
      </c>
      <c r="C7" s="5">
        <v>58</v>
      </c>
      <c r="D7" s="5">
        <v>58</v>
      </c>
      <c r="E7" s="5">
        <v>58</v>
      </c>
      <c r="F7" s="5">
        <v>58</v>
      </c>
      <c r="G7" s="5">
        <v>58</v>
      </c>
      <c r="H7" s="9">
        <f t="shared" si="0"/>
        <v>290</v>
      </c>
      <c r="J7" s="39" t="s">
        <v>7</v>
      </c>
      <c r="K7" s="5">
        <f t="shared" si="1"/>
        <v>29</v>
      </c>
      <c r="L7" s="5">
        <f t="shared" si="2"/>
        <v>29</v>
      </c>
      <c r="M7" s="5">
        <f t="shared" si="3"/>
        <v>29</v>
      </c>
      <c r="N7" s="5">
        <f t="shared" si="4"/>
        <v>29</v>
      </c>
      <c r="O7" s="5">
        <f t="shared" si="5"/>
        <v>29</v>
      </c>
      <c r="P7" s="5">
        <f t="shared" si="6"/>
        <v>29</v>
      </c>
      <c r="Q7" s="5">
        <f t="shared" si="7"/>
        <v>29</v>
      </c>
      <c r="R7" s="5">
        <f t="shared" si="8"/>
        <v>29</v>
      </c>
      <c r="S7" s="5">
        <f t="shared" si="9"/>
        <v>29</v>
      </c>
      <c r="T7" s="5">
        <f t="shared" si="10"/>
        <v>29</v>
      </c>
      <c r="U7" s="9">
        <f>'Option 1 HoTOC Existing'!H13</f>
        <v>290</v>
      </c>
    </row>
    <row r="8" spans="2:21" x14ac:dyDescent="0.25">
      <c r="B8" s="39" t="s">
        <v>8</v>
      </c>
      <c r="C8" s="5">
        <v>64</v>
      </c>
      <c r="D8" s="5">
        <v>64</v>
      </c>
      <c r="E8" s="5">
        <v>64</v>
      </c>
      <c r="F8" s="5">
        <v>64</v>
      </c>
      <c r="G8" s="5">
        <v>64</v>
      </c>
      <c r="H8" s="9">
        <f t="shared" si="0"/>
        <v>320</v>
      </c>
      <c r="J8" s="39" t="s">
        <v>8</v>
      </c>
      <c r="K8" s="5">
        <f t="shared" si="1"/>
        <v>32</v>
      </c>
      <c r="L8" s="5">
        <f t="shared" si="2"/>
        <v>32</v>
      </c>
      <c r="M8" s="5">
        <f t="shared" si="3"/>
        <v>32</v>
      </c>
      <c r="N8" s="5">
        <f t="shared" si="4"/>
        <v>32</v>
      </c>
      <c r="O8" s="5">
        <f t="shared" si="5"/>
        <v>32</v>
      </c>
      <c r="P8" s="5">
        <f t="shared" si="6"/>
        <v>32</v>
      </c>
      <c r="Q8" s="5">
        <f t="shared" si="7"/>
        <v>32</v>
      </c>
      <c r="R8" s="5">
        <f t="shared" si="8"/>
        <v>32</v>
      </c>
      <c r="S8" s="5">
        <f t="shared" si="9"/>
        <v>32</v>
      </c>
      <c r="T8" s="5">
        <f t="shared" si="10"/>
        <v>32</v>
      </c>
      <c r="U8" s="9">
        <f>'Option 1 HoTOC Existing'!H14</f>
        <v>320</v>
      </c>
    </row>
    <row r="9" spans="2:21" x14ac:dyDescent="0.25">
      <c r="B9" s="39" t="s">
        <v>3</v>
      </c>
      <c r="C9" s="5">
        <v>96</v>
      </c>
      <c r="D9" s="5">
        <v>96</v>
      </c>
      <c r="E9" s="5">
        <v>96</v>
      </c>
      <c r="F9" s="5">
        <v>96</v>
      </c>
      <c r="G9" s="5">
        <v>96</v>
      </c>
      <c r="H9" s="9">
        <f t="shared" si="0"/>
        <v>480</v>
      </c>
      <c r="J9" s="39" t="s">
        <v>3</v>
      </c>
      <c r="K9" s="5">
        <f t="shared" si="1"/>
        <v>48</v>
      </c>
      <c r="L9" s="5">
        <f t="shared" si="2"/>
        <v>48</v>
      </c>
      <c r="M9" s="5">
        <f t="shared" si="3"/>
        <v>48</v>
      </c>
      <c r="N9" s="5">
        <f t="shared" si="4"/>
        <v>48</v>
      </c>
      <c r="O9" s="5">
        <f t="shared" si="5"/>
        <v>48</v>
      </c>
      <c r="P9" s="5">
        <f t="shared" si="6"/>
        <v>48</v>
      </c>
      <c r="Q9" s="5">
        <f t="shared" si="7"/>
        <v>48</v>
      </c>
      <c r="R9" s="5">
        <f t="shared" si="8"/>
        <v>48</v>
      </c>
      <c r="S9" s="5">
        <f t="shared" si="9"/>
        <v>48</v>
      </c>
      <c r="T9" s="5">
        <f t="shared" si="10"/>
        <v>48</v>
      </c>
      <c r="U9" s="9">
        <f>'Option 1 HoTOC Existing'!H15</f>
        <v>480</v>
      </c>
    </row>
    <row r="10" spans="2:21" ht="30" x14ac:dyDescent="0.25">
      <c r="B10" s="39" t="s">
        <v>4</v>
      </c>
      <c r="C10" s="5">
        <v>20</v>
      </c>
      <c r="D10" s="5">
        <v>20</v>
      </c>
      <c r="E10" s="5">
        <v>20</v>
      </c>
      <c r="F10" s="5">
        <v>20</v>
      </c>
      <c r="G10" s="5">
        <v>20</v>
      </c>
      <c r="H10" s="9">
        <f t="shared" si="0"/>
        <v>100</v>
      </c>
      <c r="J10" s="39" t="s">
        <v>4</v>
      </c>
      <c r="K10" s="5">
        <f t="shared" si="1"/>
        <v>10</v>
      </c>
      <c r="L10" s="5">
        <f t="shared" si="2"/>
        <v>10</v>
      </c>
      <c r="M10" s="5">
        <f t="shared" si="3"/>
        <v>10</v>
      </c>
      <c r="N10" s="5">
        <f t="shared" si="4"/>
        <v>10</v>
      </c>
      <c r="O10" s="5">
        <f t="shared" si="5"/>
        <v>10</v>
      </c>
      <c r="P10" s="5">
        <f t="shared" si="6"/>
        <v>10</v>
      </c>
      <c r="Q10" s="5">
        <f t="shared" si="7"/>
        <v>10</v>
      </c>
      <c r="R10" s="5">
        <f t="shared" si="8"/>
        <v>10</v>
      </c>
      <c r="S10" s="5">
        <f t="shared" si="9"/>
        <v>10</v>
      </c>
      <c r="T10" s="5">
        <f t="shared" si="10"/>
        <v>10</v>
      </c>
      <c r="U10" s="9">
        <f>'Option 1 HoTOC Existing'!H16</f>
        <v>100</v>
      </c>
    </row>
    <row r="11" spans="2:21" ht="30" x14ac:dyDescent="0.25">
      <c r="B11" s="39" t="s">
        <v>5</v>
      </c>
      <c r="C11" s="5">
        <v>116</v>
      </c>
      <c r="D11" s="5">
        <v>116</v>
      </c>
      <c r="E11" s="5">
        <v>116</v>
      </c>
      <c r="F11" s="5">
        <v>116</v>
      </c>
      <c r="G11" s="5">
        <v>116</v>
      </c>
      <c r="H11" s="9">
        <f t="shared" si="0"/>
        <v>580</v>
      </c>
      <c r="J11" s="39" t="s">
        <v>5</v>
      </c>
      <c r="K11" s="5">
        <f t="shared" si="1"/>
        <v>58</v>
      </c>
      <c r="L11" s="5">
        <f t="shared" si="2"/>
        <v>58</v>
      </c>
      <c r="M11" s="5">
        <f t="shared" si="3"/>
        <v>58</v>
      </c>
      <c r="N11" s="5">
        <f t="shared" si="4"/>
        <v>58</v>
      </c>
      <c r="O11" s="5">
        <f t="shared" si="5"/>
        <v>58</v>
      </c>
      <c r="P11" s="5">
        <f t="shared" si="6"/>
        <v>58</v>
      </c>
      <c r="Q11" s="5">
        <f t="shared" si="7"/>
        <v>58</v>
      </c>
      <c r="R11" s="5">
        <f t="shared" si="8"/>
        <v>58</v>
      </c>
      <c r="S11" s="5">
        <f t="shared" si="9"/>
        <v>58</v>
      </c>
      <c r="T11" s="5">
        <f t="shared" si="10"/>
        <v>58</v>
      </c>
      <c r="U11" s="9">
        <f>'Option 1 HoTOC Existing'!H17</f>
        <v>580</v>
      </c>
    </row>
    <row r="12" spans="2:21" x14ac:dyDescent="0.25">
      <c r="B12" s="8" t="s">
        <v>6</v>
      </c>
      <c r="C12" s="9">
        <f>SUM(C5:C11)</f>
        <v>878</v>
      </c>
      <c r="D12" s="9">
        <f t="shared" ref="D12:G12" si="11">SUM(D5:D11)</f>
        <v>878</v>
      </c>
      <c r="E12" s="9">
        <f t="shared" si="11"/>
        <v>878</v>
      </c>
      <c r="F12" s="9">
        <f t="shared" si="11"/>
        <v>878</v>
      </c>
      <c r="G12" s="9">
        <f t="shared" si="11"/>
        <v>878</v>
      </c>
      <c r="H12" s="47">
        <f t="shared" ref="H12" si="12">SUM(H4:H11)</f>
        <v>4390</v>
      </c>
      <c r="J12" s="8" t="s">
        <v>6</v>
      </c>
      <c r="K12" s="9">
        <f t="shared" si="1"/>
        <v>439</v>
      </c>
      <c r="L12" s="9">
        <f t="shared" si="2"/>
        <v>439</v>
      </c>
      <c r="M12" s="9">
        <f t="shared" si="3"/>
        <v>439</v>
      </c>
      <c r="N12" s="9">
        <f t="shared" si="4"/>
        <v>439</v>
      </c>
      <c r="O12" s="9">
        <f t="shared" si="5"/>
        <v>439</v>
      </c>
      <c r="P12" s="9">
        <f t="shared" si="6"/>
        <v>439</v>
      </c>
      <c r="Q12" s="9">
        <f t="shared" si="7"/>
        <v>439</v>
      </c>
      <c r="R12" s="9">
        <f t="shared" si="8"/>
        <v>439</v>
      </c>
      <c r="S12" s="9">
        <f t="shared" si="9"/>
        <v>439</v>
      </c>
      <c r="T12" s="9">
        <f t="shared" si="10"/>
        <v>439</v>
      </c>
      <c r="U12" s="47">
        <f t="shared" ref="U12" si="13">SUM(U4:U11)</f>
        <v>4390</v>
      </c>
    </row>
    <row r="14" spans="2:21" x14ac:dyDescent="0.25">
      <c r="B14" s="92" t="s">
        <v>21</v>
      </c>
      <c r="C14" s="92"/>
      <c r="D14" s="92"/>
      <c r="E14" s="92"/>
      <c r="J14" s="92" t="s">
        <v>21</v>
      </c>
      <c r="K14" s="92"/>
      <c r="L14" s="92"/>
      <c r="M14" s="92"/>
    </row>
    <row r="15" spans="2:21" x14ac:dyDescent="0.25">
      <c r="B15" s="12"/>
      <c r="C15" s="16">
        <v>2020</v>
      </c>
      <c r="D15" s="16">
        <v>2021</v>
      </c>
      <c r="E15" s="16">
        <v>2022</v>
      </c>
      <c r="F15" s="16">
        <v>2023</v>
      </c>
      <c r="G15" s="16">
        <v>2024</v>
      </c>
      <c r="H15" s="16" t="s">
        <v>6</v>
      </c>
      <c r="J15" s="12"/>
      <c r="K15" s="16">
        <v>2020</v>
      </c>
      <c r="L15" s="16">
        <v>2021</v>
      </c>
      <c r="M15" s="16">
        <v>2022</v>
      </c>
      <c r="N15" s="16">
        <v>2023</v>
      </c>
      <c r="O15" s="16">
        <v>2024</v>
      </c>
      <c r="P15" s="16">
        <v>2025</v>
      </c>
      <c r="Q15" s="16">
        <v>2026</v>
      </c>
      <c r="R15" s="16">
        <v>2027</v>
      </c>
      <c r="S15" s="16">
        <v>2028</v>
      </c>
      <c r="T15" s="16">
        <v>2029</v>
      </c>
      <c r="U15" s="16" t="s">
        <v>6</v>
      </c>
    </row>
    <row r="16" spans="2:21" ht="30" x14ac:dyDescent="0.25">
      <c r="B16" s="39" t="s">
        <v>0</v>
      </c>
      <c r="C16" s="5">
        <f>H16/5</f>
        <v>1060.3308000000002</v>
      </c>
      <c r="D16" s="5">
        <f>H16/5</f>
        <v>1060.3308000000002</v>
      </c>
      <c r="E16" s="5">
        <f>H16/5</f>
        <v>1060.3308000000002</v>
      </c>
      <c r="F16" s="5">
        <f>H16/5</f>
        <v>1060.3308000000002</v>
      </c>
      <c r="G16" s="5">
        <f>H16/5</f>
        <v>1060.3308000000002</v>
      </c>
      <c r="H16" s="9">
        <f>'Option 2 LA Existing'!D10</f>
        <v>5301.6540000000005</v>
      </c>
      <c r="J16" s="39" t="s">
        <v>0</v>
      </c>
      <c r="K16" s="5">
        <f>U16/10</f>
        <v>530.16540000000009</v>
      </c>
      <c r="L16" s="5">
        <f>U16/10</f>
        <v>530.16540000000009</v>
      </c>
      <c r="M16" s="5">
        <f>U16/10</f>
        <v>530.16540000000009</v>
      </c>
      <c r="N16" s="5">
        <f>U16/10</f>
        <v>530.16540000000009</v>
      </c>
      <c r="O16" s="5">
        <f>U16/10</f>
        <v>530.16540000000009</v>
      </c>
      <c r="P16" s="5">
        <f>U16/10</f>
        <v>530.16540000000009</v>
      </c>
      <c r="Q16" s="5">
        <f>U16/10</f>
        <v>530.16540000000009</v>
      </c>
      <c r="R16" s="5">
        <f>U16/10</f>
        <v>530.16540000000009</v>
      </c>
      <c r="S16" s="5">
        <f>U16/10</f>
        <v>530.16540000000009</v>
      </c>
      <c r="T16" s="5">
        <f>U16/10</f>
        <v>530.16540000000009</v>
      </c>
      <c r="U16" s="9">
        <f>'Option 2 LA Existing'!D10</f>
        <v>5301.6540000000005</v>
      </c>
    </row>
    <row r="17" spans="2:21" x14ac:dyDescent="0.25">
      <c r="B17" s="39" t="s">
        <v>1</v>
      </c>
      <c r="C17" s="5">
        <f t="shared" ref="C17:C21" si="14">H17/5</f>
        <v>178.70367999999999</v>
      </c>
      <c r="D17" s="5">
        <f t="shared" ref="D17:D21" si="15">H17/5</f>
        <v>178.70367999999999</v>
      </c>
      <c r="E17" s="5">
        <f t="shared" ref="E17:E21" si="16">H17/5</f>
        <v>178.70367999999999</v>
      </c>
      <c r="F17" s="5">
        <f t="shared" ref="F17:F21" si="17">H17/5</f>
        <v>178.70367999999999</v>
      </c>
      <c r="G17" s="5">
        <f t="shared" ref="G17:G22" si="18">H17/5</f>
        <v>178.70367999999999</v>
      </c>
      <c r="H17" s="9">
        <f>'Option 2 LA Existing'!E10</f>
        <v>893.51839999999993</v>
      </c>
      <c r="J17" s="39" t="s">
        <v>1</v>
      </c>
      <c r="K17" s="5">
        <f t="shared" ref="K17:K21" si="19">U17/10</f>
        <v>89.351839999999996</v>
      </c>
      <c r="L17" s="5">
        <f t="shared" ref="L17:L21" si="20">U17/10</f>
        <v>89.351839999999996</v>
      </c>
      <c r="M17" s="5">
        <f t="shared" ref="M17:M21" si="21">U17/10</f>
        <v>89.351839999999996</v>
      </c>
      <c r="N17" s="5">
        <f t="shared" ref="N17:N21" si="22">U17/10</f>
        <v>89.351839999999996</v>
      </c>
      <c r="O17" s="5">
        <f t="shared" ref="O17:O21" si="23">U17/10</f>
        <v>89.351839999999996</v>
      </c>
      <c r="P17" s="5">
        <f t="shared" ref="P17:P21" si="24">U17/10</f>
        <v>89.351839999999996</v>
      </c>
      <c r="Q17" s="5">
        <f t="shared" ref="Q17:Q21" si="25">U17/10</f>
        <v>89.351839999999996</v>
      </c>
      <c r="R17" s="5">
        <f t="shared" ref="R17:R21" si="26">U17/10</f>
        <v>89.351839999999996</v>
      </c>
      <c r="S17" s="5">
        <f t="shared" ref="S17:S21" si="27">U17/10</f>
        <v>89.351839999999996</v>
      </c>
      <c r="T17" s="5">
        <f t="shared" ref="T17:T21" si="28">U17/10</f>
        <v>89.351839999999996</v>
      </c>
      <c r="U17" s="9">
        <f>'Option 2 LA Existing'!E10</f>
        <v>893.51839999999993</v>
      </c>
    </row>
    <row r="18" spans="2:21" x14ac:dyDescent="0.25">
      <c r="B18" s="39" t="s">
        <v>2</v>
      </c>
      <c r="C18" s="5">
        <f t="shared" si="14"/>
        <v>334.52686155000004</v>
      </c>
      <c r="D18" s="5">
        <f t="shared" si="15"/>
        <v>334.52686155000004</v>
      </c>
      <c r="E18" s="5">
        <f t="shared" si="16"/>
        <v>334.52686155000004</v>
      </c>
      <c r="F18" s="5">
        <f t="shared" si="17"/>
        <v>334.52686155000004</v>
      </c>
      <c r="G18" s="5">
        <f t="shared" si="18"/>
        <v>334.52686155000004</v>
      </c>
      <c r="H18" s="9">
        <f>'Option 2 LA Existing'!F21</f>
        <v>1672.6343077500001</v>
      </c>
      <c r="J18" s="39" t="s">
        <v>2</v>
      </c>
      <c r="K18" s="5">
        <f t="shared" si="19"/>
        <v>167.26343077500002</v>
      </c>
      <c r="L18" s="5">
        <f t="shared" si="20"/>
        <v>167.26343077500002</v>
      </c>
      <c r="M18" s="5">
        <f t="shared" si="21"/>
        <v>167.26343077500002</v>
      </c>
      <c r="N18" s="5">
        <f t="shared" si="22"/>
        <v>167.26343077500002</v>
      </c>
      <c r="O18" s="5">
        <f t="shared" si="23"/>
        <v>167.26343077500002</v>
      </c>
      <c r="P18" s="5">
        <f t="shared" si="24"/>
        <v>167.26343077500002</v>
      </c>
      <c r="Q18" s="5">
        <f t="shared" si="25"/>
        <v>167.26343077500002</v>
      </c>
      <c r="R18" s="5">
        <f t="shared" si="26"/>
        <v>167.26343077500002</v>
      </c>
      <c r="S18" s="5">
        <f t="shared" si="27"/>
        <v>167.26343077500002</v>
      </c>
      <c r="T18" s="5">
        <f t="shared" si="28"/>
        <v>167.26343077500002</v>
      </c>
      <c r="U18" s="9">
        <f>'Option 2 LA Existing'!F21</f>
        <v>1672.6343077500001</v>
      </c>
    </row>
    <row r="19" spans="2:21" x14ac:dyDescent="0.25">
      <c r="B19" s="39" t="s">
        <v>3</v>
      </c>
      <c r="C19" s="5">
        <f t="shared" si="14"/>
        <v>221.22399999999999</v>
      </c>
      <c r="D19" s="5">
        <f t="shared" si="15"/>
        <v>221.22399999999999</v>
      </c>
      <c r="E19" s="5">
        <f t="shared" si="16"/>
        <v>221.22399999999999</v>
      </c>
      <c r="F19" s="5">
        <f t="shared" si="17"/>
        <v>221.22399999999999</v>
      </c>
      <c r="G19" s="5">
        <f t="shared" si="18"/>
        <v>221.22399999999999</v>
      </c>
      <c r="H19" s="9">
        <f>'Option 2 LA Existing'!G10</f>
        <v>1106.1199999999999</v>
      </c>
      <c r="J19" s="39" t="s">
        <v>3</v>
      </c>
      <c r="K19" s="5">
        <f t="shared" si="19"/>
        <v>110.61199999999999</v>
      </c>
      <c r="L19" s="5">
        <f t="shared" si="20"/>
        <v>110.61199999999999</v>
      </c>
      <c r="M19" s="5">
        <f t="shared" si="21"/>
        <v>110.61199999999999</v>
      </c>
      <c r="N19" s="5">
        <f t="shared" si="22"/>
        <v>110.61199999999999</v>
      </c>
      <c r="O19" s="5">
        <f t="shared" si="23"/>
        <v>110.61199999999999</v>
      </c>
      <c r="P19" s="5">
        <f t="shared" si="24"/>
        <v>110.61199999999999</v>
      </c>
      <c r="Q19" s="5">
        <f t="shared" si="25"/>
        <v>110.61199999999999</v>
      </c>
      <c r="R19" s="5">
        <f t="shared" si="26"/>
        <v>110.61199999999999</v>
      </c>
      <c r="S19" s="5">
        <f t="shared" si="27"/>
        <v>110.61199999999999</v>
      </c>
      <c r="T19" s="5">
        <f t="shared" si="28"/>
        <v>110.61199999999999</v>
      </c>
      <c r="U19" s="9">
        <f>'Option 2 LA Existing'!G10</f>
        <v>1106.1199999999999</v>
      </c>
    </row>
    <row r="20" spans="2:21" ht="30" x14ac:dyDescent="0.25">
      <c r="B20" s="39" t="s">
        <v>4</v>
      </c>
      <c r="C20" s="5">
        <f t="shared" si="14"/>
        <v>73.051839999999999</v>
      </c>
      <c r="D20" s="5">
        <f t="shared" si="15"/>
        <v>73.051839999999999</v>
      </c>
      <c r="E20" s="5">
        <f t="shared" si="16"/>
        <v>73.051839999999999</v>
      </c>
      <c r="F20" s="5">
        <f t="shared" si="17"/>
        <v>73.051839999999999</v>
      </c>
      <c r="G20" s="5">
        <f t="shared" si="18"/>
        <v>73.051839999999999</v>
      </c>
      <c r="H20" s="9">
        <f>'Option 2 LA Existing'!H10</f>
        <v>365.25919999999996</v>
      </c>
      <c r="J20" s="39" t="s">
        <v>4</v>
      </c>
      <c r="K20" s="5">
        <f t="shared" si="19"/>
        <v>36.525919999999999</v>
      </c>
      <c r="L20" s="5">
        <f t="shared" si="20"/>
        <v>36.525919999999999</v>
      </c>
      <c r="M20" s="5">
        <f t="shared" si="21"/>
        <v>36.525919999999999</v>
      </c>
      <c r="N20" s="5">
        <f t="shared" si="22"/>
        <v>36.525919999999999</v>
      </c>
      <c r="O20" s="5">
        <f t="shared" si="23"/>
        <v>36.525919999999999</v>
      </c>
      <c r="P20" s="5">
        <f t="shared" si="24"/>
        <v>36.525919999999999</v>
      </c>
      <c r="Q20" s="5">
        <f t="shared" si="25"/>
        <v>36.525919999999999</v>
      </c>
      <c r="R20" s="5">
        <f t="shared" si="26"/>
        <v>36.525919999999999</v>
      </c>
      <c r="S20" s="5">
        <f t="shared" si="27"/>
        <v>36.525919999999999</v>
      </c>
      <c r="T20" s="5">
        <f t="shared" si="28"/>
        <v>36.525919999999999</v>
      </c>
      <c r="U20" s="9">
        <f>'Option 2 LA Existing'!H10</f>
        <v>365.25919999999996</v>
      </c>
    </row>
    <row r="21" spans="2:21" ht="30" x14ac:dyDescent="0.25">
      <c r="B21" s="39" t="s">
        <v>5</v>
      </c>
      <c r="C21" s="5">
        <f t="shared" si="14"/>
        <v>269.3306</v>
      </c>
      <c r="D21" s="5">
        <f t="shared" si="15"/>
        <v>269.3306</v>
      </c>
      <c r="E21" s="5">
        <f t="shared" si="16"/>
        <v>269.3306</v>
      </c>
      <c r="F21" s="5">
        <f t="shared" si="17"/>
        <v>269.3306</v>
      </c>
      <c r="G21" s="5">
        <f t="shared" si="18"/>
        <v>269.3306</v>
      </c>
      <c r="H21" s="9">
        <f>'Option 2 LA Existing'!I10</f>
        <v>1346.653</v>
      </c>
      <c r="J21" s="39" t="s">
        <v>5</v>
      </c>
      <c r="K21" s="5">
        <f t="shared" si="19"/>
        <v>134.6653</v>
      </c>
      <c r="L21" s="5">
        <f t="shared" si="20"/>
        <v>134.6653</v>
      </c>
      <c r="M21" s="5">
        <f t="shared" si="21"/>
        <v>134.6653</v>
      </c>
      <c r="N21" s="5">
        <f t="shared" si="22"/>
        <v>134.6653</v>
      </c>
      <c r="O21" s="5">
        <f t="shared" si="23"/>
        <v>134.6653</v>
      </c>
      <c r="P21" s="5">
        <f t="shared" si="24"/>
        <v>134.6653</v>
      </c>
      <c r="Q21" s="5">
        <f t="shared" si="25"/>
        <v>134.6653</v>
      </c>
      <c r="R21" s="5">
        <f t="shared" si="26"/>
        <v>134.6653</v>
      </c>
      <c r="S21" s="5">
        <f t="shared" si="27"/>
        <v>134.6653</v>
      </c>
      <c r="T21" s="5">
        <f t="shared" si="28"/>
        <v>134.6653</v>
      </c>
      <c r="U21" s="9">
        <f>'Option 2 LA Existing'!I10</f>
        <v>1346.653</v>
      </c>
    </row>
    <row r="22" spans="2:21" x14ac:dyDescent="0.25">
      <c r="B22" s="8" t="s">
        <v>6</v>
      </c>
      <c r="C22" s="9">
        <f t="shared" ref="C22" si="29">H22/5</f>
        <v>2137.1677815500002</v>
      </c>
      <c r="D22" s="9">
        <f t="shared" ref="D22" si="30">H22/5</f>
        <v>2137.1677815500002</v>
      </c>
      <c r="E22" s="9">
        <f t="shared" ref="E22" si="31">H22/5</f>
        <v>2137.1677815500002</v>
      </c>
      <c r="F22" s="9">
        <f t="shared" ref="F22" si="32">H22/5</f>
        <v>2137.1677815500002</v>
      </c>
      <c r="G22" s="9">
        <f t="shared" si="18"/>
        <v>2137.1677815500002</v>
      </c>
      <c r="H22" s="47">
        <f>SUM(H16:H21)</f>
        <v>10685.838907750001</v>
      </c>
      <c r="J22" s="8" t="s">
        <v>6</v>
      </c>
      <c r="K22" s="9">
        <f>U22/10</f>
        <v>1068.5838907750001</v>
      </c>
      <c r="L22" s="9">
        <f>U22/10</f>
        <v>1068.5838907750001</v>
      </c>
      <c r="M22" s="9">
        <f>U22/10</f>
        <v>1068.5838907750001</v>
      </c>
      <c r="N22" s="9">
        <f>U22/10</f>
        <v>1068.5838907750001</v>
      </c>
      <c r="O22" s="9">
        <f>U22/10</f>
        <v>1068.5838907750001</v>
      </c>
      <c r="P22" s="9">
        <f>U22/10</f>
        <v>1068.5838907750001</v>
      </c>
      <c r="Q22" s="9">
        <f>U22/10</f>
        <v>1068.5838907750001</v>
      </c>
      <c r="R22" s="9">
        <f>U22/10</f>
        <v>1068.5838907750001</v>
      </c>
      <c r="S22" s="9">
        <f>U22/10</f>
        <v>1068.5838907750001</v>
      </c>
      <c r="T22" s="9">
        <f>U22/10</f>
        <v>1068.5838907750001</v>
      </c>
      <c r="U22" s="47">
        <f>SUM(U16:U21)</f>
        <v>10685.838907750001</v>
      </c>
    </row>
    <row r="24" spans="2:21" ht="12" customHeight="1" x14ac:dyDescent="0.25">
      <c r="B24" s="92" t="s">
        <v>58</v>
      </c>
      <c r="C24" s="92"/>
      <c r="D24" s="92"/>
      <c r="E24" s="92"/>
      <c r="F24" s="92"/>
      <c r="G24" s="92"/>
      <c r="H24" s="92"/>
      <c r="J24" s="92" t="s">
        <v>58</v>
      </c>
      <c r="K24" s="92"/>
      <c r="L24" s="92"/>
      <c r="M24" s="92"/>
      <c r="N24" s="92"/>
      <c r="O24" s="92"/>
      <c r="P24" s="92"/>
      <c r="Q24" s="92"/>
      <c r="R24" s="92"/>
    </row>
    <row r="25" spans="2:21" x14ac:dyDescent="0.25">
      <c r="B25" s="12"/>
      <c r="C25" s="16">
        <v>2020</v>
      </c>
      <c r="D25" s="16">
        <v>2021</v>
      </c>
      <c r="E25" s="16">
        <v>2022</v>
      </c>
      <c r="F25" s="16">
        <v>2023</v>
      </c>
      <c r="G25" s="16">
        <v>2024</v>
      </c>
      <c r="H25" s="16" t="s">
        <v>6</v>
      </c>
      <c r="J25" s="12"/>
      <c r="K25" s="16">
        <v>2020</v>
      </c>
      <c r="L25" s="16">
        <v>2021</v>
      </c>
      <c r="M25" s="16">
        <v>2022</v>
      </c>
      <c r="N25" s="16">
        <v>2023</v>
      </c>
      <c r="O25" s="16">
        <v>2024</v>
      </c>
      <c r="P25" s="16">
        <v>2025</v>
      </c>
      <c r="Q25" s="16">
        <v>2026</v>
      </c>
      <c r="R25" s="16">
        <v>2027</v>
      </c>
      <c r="S25" s="16">
        <v>2028</v>
      </c>
      <c r="T25" s="16">
        <v>2029</v>
      </c>
      <c r="U25" s="16" t="s">
        <v>6</v>
      </c>
    </row>
    <row r="26" spans="2:21" ht="30" x14ac:dyDescent="0.25">
      <c r="B26" s="39" t="s">
        <v>0</v>
      </c>
      <c r="C26" s="5">
        <f>H26/5</f>
        <v>1059.8</v>
      </c>
      <c r="D26" s="5">
        <f>H26/5</f>
        <v>1059.8</v>
      </c>
      <c r="E26" s="5">
        <f>H26/5</f>
        <v>1059.8</v>
      </c>
      <c r="F26" s="5">
        <f>H26/5</f>
        <v>1059.8</v>
      </c>
      <c r="G26" s="5">
        <f>H26/5</f>
        <v>1059.8</v>
      </c>
      <c r="H26" s="9">
        <f>'Option 3 HNDA Tool with LA Need'!D8</f>
        <v>5299</v>
      </c>
      <c r="J26" s="39" t="s">
        <v>0</v>
      </c>
      <c r="K26" s="5">
        <f>U26/10</f>
        <v>529.9</v>
      </c>
      <c r="L26" s="5">
        <f>U26/10</f>
        <v>529.9</v>
      </c>
      <c r="M26" s="5">
        <f>U26/10</f>
        <v>529.9</v>
      </c>
      <c r="N26" s="5">
        <f>U26/10</f>
        <v>529.9</v>
      </c>
      <c r="O26" s="5">
        <f>U26/10</f>
        <v>529.9</v>
      </c>
      <c r="P26" s="5">
        <f>U26/10</f>
        <v>529.9</v>
      </c>
      <c r="Q26" s="5">
        <f>U26/10</f>
        <v>529.9</v>
      </c>
      <c r="R26" s="5">
        <f>U26/10</f>
        <v>529.9</v>
      </c>
      <c r="S26" s="5">
        <f>U26/10</f>
        <v>529.9</v>
      </c>
      <c r="T26" s="5">
        <f>U26/10</f>
        <v>529.9</v>
      </c>
      <c r="U26" s="9">
        <f>'Option 3 HNDA Tool with LA Need'!D8</f>
        <v>5299</v>
      </c>
    </row>
    <row r="27" spans="2:21" x14ac:dyDescent="0.25">
      <c r="B27" s="39" t="s">
        <v>1</v>
      </c>
      <c r="C27" s="5">
        <f t="shared" ref="C27:C32" si="33">H27/5</f>
        <v>168.2</v>
      </c>
      <c r="D27" s="5">
        <f t="shared" ref="D27:D32" si="34">H27/5</f>
        <v>168.2</v>
      </c>
      <c r="E27" s="5">
        <f t="shared" ref="E27:E32" si="35">H27/5</f>
        <v>168.2</v>
      </c>
      <c r="F27" s="5">
        <f t="shared" ref="F27:F32" si="36">H27/5</f>
        <v>168.2</v>
      </c>
      <c r="G27" s="5">
        <f t="shared" ref="G27:G32" si="37">H27/5</f>
        <v>168.2</v>
      </c>
      <c r="H27" s="9">
        <f>'Option 3 HNDA Tool with LA Need'!E8</f>
        <v>841</v>
      </c>
      <c r="J27" s="39" t="s">
        <v>1</v>
      </c>
      <c r="K27" s="5">
        <f t="shared" ref="K27:K32" si="38">U27/10</f>
        <v>84.1</v>
      </c>
      <c r="L27" s="5">
        <f t="shared" ref="L27:L32" si="39">U27/10</f>
        <v>84.1</v>
      </c>
      <c r="M27" s="5">
        <f t="shared" ref="M27:M32" si="40">U27/10</f>
        <v>84.1</v>
      </c>
      <c r="N27" s="5">
        <f t="shared" ref="N27:N32" si="41">U27/10</f>
        <v>84.1</v>
      </c>
      <c r="O27" s="5">
        <f t="shared" ref="O27:O32" si="42">U27/10</f>
        <v>84.1</v>
      </c>
      <c r="P27" s="5">
        <f t="shared" ref="P27:P32" si="43">U27/10</f>
        <v>84.1</v>
      </c>
      <c r="Q27" s="5">
        <f t="shared" ref="Q27:Q32" si="44">U27/10</f>
        <v>84.1</v>
      </c>
      <c r="R27" s="5">
        <f t="shared" ref="R27:R32" si="45">U27/10</f>
        <v>84.1</v>
      </c>
      <c r="S27" s="5">
        <f t="shared" ref="S27:S32" si="46">U27/10</f>
        <v>84.1</v>
      </c>
      <c r="T27" s="5">
        <f t="shared" ref="T27:T32" si="47">U27/10</f>
        <v>84.1</v>
      </c>
      <c r="U27" s="9">
        <f>'Option 3 HNDA Tool with LA Need'!E8</f>
        <v>841</v>
      </c>
    </row>
    <row r="28" spans="2:21" x14ac:dyDescent="0.25">
      <c r="B28" s="39" t="s">
        <v>2</v>
      </c>
      <c r="C28" s="5">
        <f t="shared" si="33"/>
        <v>335.82772</v>
      </c>
      <c r="D28" s="5">
        <f t="shared" si="34"/>
        <v>335.82772</v>
      </c>
      <c r="E28" s="5">
        <f t="shared" si="35"/>
        <v>335.82772</v>
      </c>
      <c r="F28" s="5">
        <f t="shared" si="36"/>
        <v>335.82772</v>
      </c>
      <c r="G28" s="5">
        <f t="shared" si="37"/>
        <v>335.82772</v>
      </c>
      <c r="H28" s="9">
        <f>'Option 3 HNDA Tool with LA Need'!F17</f>
        <v>1679.1386</v>
      </c>
      <c r="J28" s="39" t="s">
        <v>2</v>
      </c>
      <c r="K28" s="5">
        <f t="shared" si="38"/>
        <v>167.91386</v>
      </c>
      <c r="L28" s="5">
        <f t="shared" si="39"/>
        <v>167.91386</v>
      </c>
      <c r="M28" s="5">
        <f t="shared" si="40"/>
        <v>167.91386</v>
      </c>
      <c r="N28" s="5">
        <f t="shared" si="41"/>
        <v>167.91386</v>
      </c>
      <c r="O28" s="5">
        <f t="shared" si="42"/>
        <v>167.91386</v>
      </c>
      <c r="P28" s="5">
        <f t="shared" si="43"/>
        <v>167.91386</v>
      </c>
      <c r="Q28" s="5">
        <f t="shared" si="44"/>
        <v>167.91386</v>
      </c>
      <c r="R28" s="5">
        <f t="shared" si="45"/>
        <v>167.91386</v>
      </c>
      <c r="S28" s="5">
        <f t="shared" si="46"/>
        <v>167.91386</v>
      </c>
      <c r="T28" s="5">
        <f t="shared" si="47"/>
        <v>167.91386</v>
      </c>
      <c r="U28" s="9">
        <f>'Option 3 HNDA Tool with LA Need'!F17</f>
        <v>1679.1386</v>
      </c>
    </row>
    <row r="29" spans="2:21" x14ac:dyDescent="0.25">
      <c r="B29" s="39" t="s">
        <v>3</v>
      </c>
      <c r="C29" s="5">
        <f t="shared" si="33"/>
        <v>222.8</v>
      </c>
      <c r="D29" s="5">
        <f t="shared" si="34"/>
        <v>222.8</v>
      </c>
      <c r="E29" s="5">
        <f t="shared" si="35"/>
        <v>222.8</v>
      </c>
      <c r="F29" s="5">
        <f t="shared" si="36"/>
        <v>222.8</v>
      </c>
      <c r="G29" s="5">
        <f t="shared" si="37"/>
        <v>222.8</v>
      </c>
      <c r="H29" s="9">
        <f>'Option 3 HNDA Tool with LA Need'!G8</f>
        <v>1114</v>
      </c>
      <c r="J29" s="39" t="s">
        <v>3</v>
      </c>
      <c r="K29" s="5">
        <f t="shared" si="38"/>
        <v>111.4</v>
      </c>
      <c r="L29" s="5">
        <f t="shared" si="39"/>
        <v>111.4</v>
      </c>
      <c r="M29" s="5">
        <f t="shared" si="40"/>
        <v>111.4</v>
      </c>
      <c r="N29" s="5">
        <f t="shared" si="41"/>
        <v>111.4</v>
      </c>
      <c r="O29" s="5">
        <f t="shared" si="42"/>
        <v>111.4</v>
      </c>
      <c r="P29" s="5">
        <f t="shared" si="43"/>
        <v>111.4</v>
      </c>
      <c r="Q29" s="5">
        <f t="shared" si="44"/>
        <v>111.4</v>
      </c>
      <c r="R29" s="5">
        <f t="shared" si="45"/>
        <v>111.4</v>
      </c>
      <c r="S29" s="5">
        <f t="shared" si="46"/>
        <v>111.4</v>
      </c>
      <c r="T29" s="5">
        <f t="shared" si="47"/>
        <v>111.4</v>
      </c>
      <c r="U29" s="9">
        <f>'Option 3 HNDA Tool with LA Need'!G8</f>
        <v>1114</v>
      </c>
    </row>
    <row r="30" spans="2:21" ht="30" x14ac:dyDescent="0.25">
      <c r="B30" s="39" t="s">
        <v>4</v>
      </c>
      <c r="C30" s="5">
        <f t="shared" si="33"/>
        <v>74.599999999999994</v>
      </c>
      <c r="D30" s="5">
        <f t="shared" si="34"/>
        <v>74.599999999999994</v>
      </c>
      <c r="E30" s="5">
        <f t="shared" si="35"/>
        <v>74.599999999999994</v>
      </c>
      <c r="F30" s="5">
        <f t="shared" si="36"/>
        <v>74.599999999999994</v>
      </c>
      <c r="G30" s="5">
        <f t="shared" si="37"/>
        <v>74.599999999999994</v>
      </c>
      <c r="H30" s="9">
        <f>'Option 3 HNDA Tool with LA Need'!H8</f>
        <v>373</v>
      </c>
      <c r="J30" s="39" t="s">
        <v>4</v>
      </c>
      <c r="K30" s="5">
        <f t="shared" si="38"/>
        <v>37.299999999999997</v>
      </c>
      <c r="L30" s="5">
        <f t="shared" si="39"/>
        <v>37.299999999999997</v>
      </c>
      <c r="M30" s="5">
        <f t="shared" si="40"/>
        <v>37.299999999999997</v>
      </c>
      <c r="N30" s="5">
        <f t="shared" si="41"/>
        <v>37.299999999999997</v>
      </c>
      <c r="O30" s="5">
        <f t="shared" si="42"/>
        <v>37.299999999999997</v>
      </c>
      <c r="P30" s="5">
        <f t="shared" si="43"/>
        <v>37.299999999999997</v>
      </c>
      <c r="Q30" s="5">
        <f t="shared" si="44"/>
        <v>37.299999999999997</v>
      </c>
      <c r="R30" s="5">
        <f t="shared" si="45"/>
        <v>37.299999999999997</v>
      </c>
      <c r="S30" s="5">
        <f t="shared" si="46"/>
        <v>37.299999999999997</v>
      </c>
      <c r="T30" s="5">
        <f t="shared" si="47"/>
        <v>37.299999999999997</v>
      </c>
      <c r="U30" s="9">
        <f>'Option 3 HNDA Tool with LA Need'!H8</f>
        <v>373</v>
      </c>
    </row>
    <row r="31" spans="2:21" ht="30" x14ac:dyDescent="0.25">
      <c r="B31" s="39" t="s">
        <v>5</v>
      </c>
      <c r="C31" s="5">
        <f t="shared" si="33"/>
        <v>277</v>
      </c>
      <c r="D31" s="5">
        <f t="shared" si="34"/>
        <v>277</v>
      </c>
      <c r="E31" s="5">
        <f t="shared" si="35"/>
        <v>277</v>
      </c>
      <c r="F31" s="5">
        <f t="shared" si="36"/>
        <v>277</v>
      </c>
      <c r="G31" s="5">
        <f t="shared" si="37"/>
        <v>277</v>
      </c>
      <c r="H31" s="9">
        <f>'Option 3 HNDA Tool with LA Need'!I8</f>
        <v>1385</v>
      </c>
      <c r="J31" s="39" t="s">
        <v>5</v>
      </c>
      <c r="K31" s="5">
        <f t="shared" si="38"/>
        <v>138.5</v>
      </c>
      <c r="L31" s="5">
        <f t="shared" si="39"/>
        <v>138.5</v>
      </c>
      <c r="M31" s="5">
        <f t="shared" si="40"/>
        <v>138.5</v>
      </c>
      <c r="N31" s="5">
        <f t="shared" si="41"/>
        <v>138.5</v>
      </c>
      <c r="O31" s="5">
        <f t="shared" si="42"/>
        <v>138.5</v>
      </c>
      <c r="P31" s="5">
        <f t="shared" si="43"/>
        <v>138.5</v>
      </c>
      <c r="Q31" s="5">
        <f t="shared" si="44"/>
        <v>138.5</v>
      </c>
      <c r="R31" s="5">
        <f t="shared" si="45"/>
        <v>138.5</v>
      </c>
      <c r="S31" s="5">
        <f t="shared" si="46"/>
        <v>138.5</v>
      </c>
      <c r="T31" s="5">
        <f t="shared" si="47"/>
        <v>138.5</v>
      </c>
      <c r="U31" s="9">
        <f>'Option 3 HNDA Tool with LA Need'!I8</f>
        <v>1385</v>
      </c>
    </row>
    <row r="32" spans="2:21" x14ac:dyDescent="0.25">
      <c r="B32" s="8" t="s">
        <v>6</v>
      </c>
      <c r="C32" s="9">
        <f t="shared" si="33"/>
        <v>2138.2277199999999</v>
      </c>
      <c r="D32" s="9">
        <f t="shared" si="34"/>
        <v>2138.2277199999999</v>
      </c>
      <c r="E32" s="9">
        <f t="shared" si="35"/>
        <v>2138.2277199999999</v>
      </c>
      <c r="F32" s="9">
        <f t="shared" si="36"/>
        <v>2138.2277199999999</v>
      </c>
      <c r="G32" s="9">
        <f t="shared" si="37"/>
        <v>2138.2277199999999</v>
      </c>
      <c r="H32" s="47">
        <f t="shared" ref="H32" si="48">SUM(H26:H31)</f>
        <v>10691.1386</v>
      </c>
      <c r="J32" s="8" t="s">
        <v>6</v>
      </c>
      <c r="K32" s="9">
        <f t="shared" si="38"/>
        <v>1069.1138599999999</v>
      </c>
      <c r="L32" s="9">
        <f t="shared" si="39"/>
        <v>1069.1138599999999</v>
      </c>
      <c r="M32" s="9">
        <f t="shared" si="40"/>
        <v>1069.1138599999999</v>
      </c>
      <c r="N32" s="9">
        <f t="shared" si="41"/>
        <v>1069.1138599999999</v>
      </c>
      <c r="O32" s="9">
        <f t="shared" si="42"/>
        <v>1069.1138599999999</v>
      </c>
      <c r="P32" s="9">
        <f t="shared" si="43"/>
        <v>1069.1138599999999</v>
      </c>
      <c r="Q32" s="9">
        <f t="shared" si="44"/>
        <v>1069.1138599999999</v>
      </c>
      <c r="R32" s="9">
        <f t="shared" si="45"/>
        <v>1069.1138599999999</v>
      </c>
      <c r="S32" s="9">
        <f t="shared" si="46"/>
        <v>1069.1138599999999</v>
      </c>
      <c r="T32" s="9">
        <f t="shared" si="47"/>
        <v>1069.1138599999999</v>
      </c>
      <c r="U32" s="47">
        <f t="shared" ref="U32" si="49">SUM(U26:U31)</f>
        <v>10691.1386</v>
      </c>
    </row>
  </sheetData>
  <sheetProtection algorithmName="SHA-512" hashValue="2nfl4bDrPacpLJzHSXHU7DlVe/P0L4euyEhFl3NTNJCe0R1nPGQr6W8I6r7AwoAAZwP/rmMefLJvrOIPrIW29w==" saltValue="DC6KxbrjfLFHn4YKd6MOtw==" spinCount="100000" sheet="1" objects="1" scenarios="1" selectLockedCells="1" selectUnlockedCells="1"/>
  <mergeCells count="4">
    <mergeCell ref="B14:E14"/>
    <mergeCell ref="J14:M14"/>
    <mergeCell ref="J24:R24"/>
    <mergeCell ref="B24:H2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E2193-F9E1-4F0C-B434-758402141D1D}">
  <dimension ref="B1:I30"/>
  <sheetViews>
    <sheetView workbookViewId="0">
      <selection activeCell="D18" sqref="D18:D20"/>
    </sheetView>
  </sheetViews>
  <sheetFormatPr defaultRowHeight="15" x14ac:dyDescent="0.25"/>
  <cols>
    <col min="2" max="2" width="28.42578125" customWidth="1"/>
    <col min="3" max="3" width="25.28515625" customWidth="1"/>
    <col min="4" max="4" width="23" customWidth="1"/>
    <col min="5" max="5" width="27.5703125" customWidth="1"/>
    <col min="6" max="6" width="81.140625" customWidth="1"/>
    <col min="7" max="7" width="23" customWidth="1"/>
    <col min="8" max="8" width="133.28515625" customWidth="1"/>
  </cols>
  <sheetData>
    <row r="1" spans="2:8" x14ac:dyDescent="0.25">
      <c r="B1" s="17" t="s">
        <v>76</v>
      </c>
      <c r="H1" s="53"/>
    </row>
    <row r="2" spans="2:8" x14ac:dyDescent="0.25">
      <c r="B2" s="58"/>
      <c r="C2" s="59" t="s">
        <v>51</v>
      </c>
      <c r="D2" s="59" t="s">
        <v>52</v>
      </c>
      <c r="E2" s="59" t="s">
        <v>88</v>
      </c>
      <c r="F2" s="59" t="s">
        <v>62</v>
      </c>
      <c r="G2" s="55"/>
      <c r="H2" s="53"/>
    </row>
    <row r="3" spans="2:8" ht="127.5" x14ac:dyDescent="0.25">
      <c r="B3" s="97" t="s">
        <v>0</v>
      </c>
      <c r="C3" s="60" t="s">
        <v>13</v>
      </c>
      <c r="D3" s="29">
        <v>4825</v>
      </c>
      <c r="E3" s="66" t="s">
        <v>100</v>
      </c>
      <c r="F3" s="60" t="s">
        <v>105</v>
      </c>
      <c r="G3" s="55"/>
      <c r="H3" s="54"/>
    </row>
    <row r="4" spans="2:8" ht="38.25" x14ac:dyDescent="0.25">
      <c r="B4" s="98"/>
      <c r="C4" s="77" t="s">
        <v>82</v>
      </c>
      <c r="D4" s="29">
        <f>'Option 3 HNDA Tool with LA Need'!D6</f>
        <v>274</v>
      </c>
      <c r="E4" s="66" t="s">
        <v>85</v>
      </c>
      <c r="F4" s="60" t="s">
        <v>77</v>
      </c>
      <c r="G4" s="55"/>
      <c r="H4" s="54"/>
    </row>
    <row r="5" spans="2:8" ht="191.25" x14ac:dyDescent="0.25">
      <c r="B5" s="99"/>
      <c r="C5" s="61" t="s">
        <v>15</v>
      </c>
      <c r="D5" s="29">
        <f>'Option 3 HNDA Tool with LA Need'!D7</f>
        <v>200</v>
      </c>
      <c r="E5" s="66" t="s">
        <v>94</v>
      </c>
      <c r="F5" s="60" t="s">
        <v>93</v>
      </c>
      <c r="G5" s="55"/>
      <c r="H5" s="54"/>
    </row>
    <row r="6" spans="2:8" ht="51" x14ac:dyDescent="0.25">
      <c r="B6" s="94" t="s">
        <v>1</v>
      </c>
      <c r="C6" s="62" t="s">
        <v>13</v>
      </c>
      <c r="D6" s="69">
        <f>'Option 3 HNDA Tool with LA Need'!E14</f>
        <v>710</v>
      </c>
      <c r="E6" s="68" t="s">
        <v>100</v>
      </c>
      <c r="F6" s="62" t="s">
        <v>101</v>
      </c>
      <c r="G6" s="55"/>
      <c r="H6" s="54"/>
    </row>
    <row r="7" spans="2:8" ht="38.25" x14ac:dyDescent="0.25">
      <c r="B7" s="95"/>
      <c r="C7" s="78" t="s">
        <v>82</v>
      </c>
      <c r="D7" s="69">
        <f>'Option 3 HNDA Tool with LA Need'!E6</f>
        <v>57</v>
      </c>
      <c r="E7" s="68" t="s">
        <v>85</v>
      </c>
      <c r="F7" s="62" t="s">
        <v>77</v>
      </c>
      <c r="G7" s="55"/>
      <c r="H7" s="54"/>
    </row>
    <row r="8" spans="2:8" ht="166.5" x14ac:dyDescent="0.25">
      <c r="B8" s="96"/>
      <c r="C8" s="63" t="s">
        <v>15</v>
      </c>
      <c r="D8" s="69">
        <f>'Option 3 HNDA Tool with LA Need'!E7</f>
        <v>74</v>
      </c>
      <c r="E8" s="68" t="s">
        <v>72</v>
      </c>
      <c r="F8" s="73" t="s">
        <v>73</v>
      </c>
      <c r="G8" s="55"/>
      <c r="H8" s="54"/>
    </row>
    <row r="9" spans="2:8" ht="153" x14ac:dyDescent="0.25">
      <c r="B9" s="97" t="s">
        <v>92</v>
      </c>
      <c r="C9" s="60" t="s">
        <v>13</v>
      </c>
      <c r="D9" s="29">
        <f>'Option 3 HNDA Tool with LA Need'!F14</f>
        <v>1245.5062</v>
      </c>
      <c r="E9" s="66" t="s">
        <v>100</v>
      </c>
      <c r="F9" s="65" t="s">
        <v>102</v>
      </c>
      <c r="G9" s="55"/>
      <c r="H9" s="54"/>
    </row>
    <row r="10" spans="2:8" ht="38.25" x14ac:dyDescent="0.25">
      <c r="B10" s="98"/>
      <c r="C10" s="77" t="s">
        <v>82</v>
      </c>
      <c r="D10" s="29">
        <f>'Option 3 HNDA Tool with LA Need'!F15</f>
        <v>170.92080000000001</v>
      </c>
      <c r="E10" s="66" t="s">
        <v>85</v>
      </c>
      <c r="F10" s="60" t="s">
        <v>77</v>
      </c>
      <c r="G10" s="55"/>
      <c r="H10" s="54"/>
    </row>
    <row r="11" spans="2:8" ht="76.5" x14ac:dyDescent="0.25">
      <c r="B11" s="99"/>
      <c r="C11" s="61" t="s">
        <v>15</v>
      </c>
      <c r="D11" s="29">
        <f>'Option 3 HNDA Tool with LA Need'!F16</f>
        <v>262.71159999999998</v>
      </c>
      <c r="E11" s="66" t="s">
        <v>56</v>
      </c>
      <c r="F11" s="67" t="s">
        <v>104</v>
      </c>
      <c r="G11" s="55"/>
      <c r="H11" s="54"/>
    </row>
    <row r="12" spans="2:8" ht="25.5" x14ac:dyDescent="0.25">
      <c r="B12" s="94" t="s">
        <v>3</v>
      </c>
      <c r="C12" s="62" t="s">
        <v>13</v>
      </c>
      <c r="D12" s="69">
        <f>'Option 3 HNDA Tool with LA Need'!G14</f>
        <v>762</v>
      </c>
      <c r="E12" s="68" t="s">
        <v>55</v>
      </c>
      <c r="F12" s="79" t="s">
        <v>84</v>
      </c>
      <c r="G12" s="55"/>
    </row>
    <row r="13" spans="2:8" ht="29.25" customHeight="1" x14ac:dyDescent="0.25">
      <c r="B13" s="95"/>
      <c r="C13" s="78" t="s">
        <v>82</v>
      </c>
      <c r="D13" s="69">
        <f>'Option 3 HNDA Tool with LA Need'!G6</f>
        <v>64</v>
      </c>
      <c r="E13" s="68" t="s">
        <v>85</v>
      </c>
      <c r="F13" s="79" t="s">
        <v>77</v>
      </c>
      <c r="G13" s="55"/>
    </row>
    <row r="14" spans="2:8" ht="51" x14ac:dyDescent="0.25">
      <c r="B14" s="96"/>
      <c r="C14" s="63" t="s">
        <v>15</v>
      </c>
      <c r="D14" s="69">
        <f>'Option 3 HNDA Tool with LA Need'!G7</f>
        <v>288</v>
      </c>
      <c r="E14" s="68" t="s">
        <v>90</v>
      </c>
      <c r="F14" s="62" t="s">
        <v>83</v>
      </c>
      <c r="G14" s="55"/>
    </row>
    <row r="15" spans="2:8" ht="63.75" x14ac:dyDescent="0.25">
      <c r="B15" s="97" t="s">
        <v>4</v>
      </c>
      <c r="C15" s="60" t="s">
        <v>13</v>
      </c>
      <c r="D15" s="29">
        <f>'Option 3 HNDA Tool with LA Need'!H14</f>
        <v>248</v>
      </c>
      <c r="E15" s="66" t="s">
        <v>100</v>
      </c>
      <c r="F15" s="60" t="s">
        <v>103</v>
      </c>
      <c r="G15" s="55"/>
      <c r="H15" s="54"/>
    </row>
    <row r="16" spans="2:8" ht="38.25" x14ac:dyDescent="0.25">
      <c r="B16" s="98"/>
      <c r="C16" s="77" t="s">
        <v>82</v>
      </c>
      <c r="D16" s="29">
        <f>'Option 3 HNDA Tool with LA Need'!H6</f>
        <v>22</v>
      </c>
      <c r="E16" s="66" t="s">
        <v>85</v>
      </c>
      <c r="F16" s="60" t="s">
        <v>77</v>
      </c>
      <c r="G16" s="55"/>
      <c r="H16" s="54"/>
    </row>
    <row r="17" spans="2:9" ht="114.75" x14ac:dyDescent="0.25">
      <c r="B17" s="99"/>
      <c r="C17" s="61" t="s">
        <v>15</v>
      </c>
      <c r="D17" s="29">
        <f>'Option 3 HNDA Tool with LA Need'!H7</f>
        <v>103</v>
      </c>
      <c r="E17" s="66" t="s">
        <v>95</v>
      </c>
      <c r="F17" s="60" t="s">
        <v>81</v>
      </c>
      <c r="G17" s="55"/>
      <c r="H17" s="54"/>
    </row>
    <row r="18" spans="2:9" ht="76.5" x14ac:dyDescent="0.25">
      <c r="B18" s="94" t="s">
        <v>5</v>
      </c>
      <c r="C18" s="62" t="s">
        <v>13</v>
      </c>
      <c r="D18" s="69">
        <f>'Option 3 HNDA Tool with LA Need'!I14</f>
        <v>1246</v>
      </c>
      <c r="E18" s="68" t="s">
        <v>100</v>
      </c>
      <c r="F18" s="62" t="s">
        <v>89</v>
      </c>
      <c r="G18" s="55"/>
      <c r="H18" s="54"/>
    </row>
    <row r="19" spans="2:9" ht="38.25" x14ac:dyDescent="0.25">
      <c r="B19" s="95"/>
      <c r="C19" s="62" t="s">
        <v>82</v>
      </c>
      <c r="D19" s="69">
        <f>'Option 3 HNDA Tool with LA Need'!I6</f>
        <v>139</v>
      </c>
      <c r="E19" s="68" t="s">
        <v>85</v>
      </c>
      <c r="F19" s="62" t="s">
        <v>77</v>
      </c>
      <c r="G19" s="55"/>
      <c r="H19" s="54"/>
    </row>
    <row r="20" spans="2:9" ht="25.5" x14ac:dyDescent="0.25">
      <c r="B20" s="96"/>
      <c r="C20" s="64" t="s">
        <v>15</v>
      </c>
      <c r="D20" s="69">
        <f>'Option 3 HNDA Tool with LA Need'!I7</f>
        <v>0</v>
      </c>
      <c r="E20" s="68" t="s">
        <v>74</v>
      </c>
      <c r="F20" s="62" t="s">
        <v>63</v>
      </c>
    </row>
    <row r="21" spans="2:9" x14ac:dyDescent="0.25">
      <c r="H21" s="54"/>
    </row>
    <row r="22" spans="2:9" x14ac:dyDescent="0.25">
      <c r="B22" s="42"/>
      <c r="C22" s="93" t="s">
        <v>87</v>
      </c>
      <c r="D22" s="93"/>
      <c r="E22" s="93"/>
      <c r="F22" s="93"/>
      <c r="G22" s="93"/>
      <c r="H22" s="93"/>
      <c r="I22" s="93"/>
    </row>
    <row r="23" spans="2:9" ht="30" x14ac:dyDescent="0.25">
      <c r="B23" s="42"/>
      <c r="C23" s="50" t="s">
        <v>35</v>
      </c>
      <c r="D23" s="50" t="s">
        <v>24</v>
      </c>
      <c r="E23" s="48" t="s">
        <v>25</v>
      </c>
      <c r="F23" s="48" t="s">
        <v>26</v>
      </c>
      <c r="G23" s="50" t="s">
        <v>36</v>
      </c>
      <c r="H23" s="50" t="s">
        <v>37</v>
      </c>
      <c r="I23" s="48" t="s">
        <v>27</v>
      </c>
    </row>
    <row r="24" spans="2:9" x14ac:dyDescent="0.25">
      <c r="B24" s="44" t="s">
        <v>0</v>
      </c>
      <c r="C24" s="43">
        <v>234000</v>
      </c>
      <c r="D24" s="43">
        <v>236000</v>
      </c>
      <c r="E24" s="43">
        <f t="shared" ref="E24:E29" si="0">D24-C24</f>
        <v>2000</v>
      </c>
      <c r="F24" s="45">
        <f t="shared" ref="F24:F29" si="1">SUM(E24/C24)*100</f>
        <v>0.85470085470085477</v>
      </c>
      <c r="G24" s="43">
        <v>272</v>
      </c>
      <c r="H24" s="46">
        <f t="shared" ref="H24:H29" si="2">SUM(G24/100)*F24</f>
        <v>2.324786324786325</v>
      </c>
      <c r="I24" s="46">
        <f t="shared" ref="I24:I29" si="3">G24+H24</f>
        <v>274.32478632478632</v>
      </c>
    </row>
    <row r="25" spans="2:9" x14ac:dyDescent="0.25">
      <c r="B25" s="44" t="s">
        <v>1</v>
      </c>
      <c r="C25" s="43">
        <v>45000</v>
      </c>
      <c r="D25" s="43">
        <v>46000</v>
      </c>
      <c r="E25" s="43">
        <f t="shared" si="0"/>
        <v>1000</v>
      </c>
      <c r="F25" s="45">
        <f t="shared" si="1"/>
        <v>2.2222222222222223</v>
      </c>
      <c r="G25" s="43">
        <v>56</v>
      </c>
      <c r="H25" s="46">
        <f t="shared" si="2"/>
        <v>1.2444444444444447</v>
      </c>
      <c r="I25" s="46">
        <f t="shared" si="3"/>
        <v>57.244444444444447</v>
      </c>
    </row>
    <row r="26" spans="2:9" x14ac:dyDescent="0.25">
      <c r="B26" s="44" t="s">
        <v>28</v>
      </c>
      <c r="C26" s="43">
        <v>167000</v>
      </c>
      <c r="D26" s="43">
        <v>168000</v>
      </c>
      <c r="E26" s="43">
        <f t="shared" si="0"/>
        <v>1000</v>
      </c>
      <c r="F26" s="45">
        <f t="shared" si="1"/>
        <v>0.5988023952095809</v>
      </c>
      <c r="G26" s="43">
        <v>215</v>
      </c>
      <c r="H26" s="46">
        <f t="shared" si="2"/>
        <v>1.2874251497005988</v>
      </c>
      <c r="I26" s="46">
        <f t="shared" si="3"/>
        <v>216.2874251497006</v>
      </c>
    </row>
    <row r="27" spans="2:9" x14ac:dyDescent="0.25">
      <c r="B27" s="44" t="s">
        <v>3</v>
      </c>
      <c r="C27" s="43">
        <v>38000</v>
      </c>
      <c r="D27" s="43">
        <v>39000</v>
      </c>
      <c r="E27" s="43">
        <f t="shared" si="0"/>
        <v>1000</v>
      </c>
      <c r="F27" s="45">
        <f t="shared" si="1"/>
        <v>2.6315789473684208</v>
      </c>
      <c r="G27" s="43">
        <v>62</v>
      </c>
      <c r="H27" s="46">
        <f t="shared" si="2"/>
        <v>1.6315789473684208</v>
      </c>
      <c r="I27" s="46">
        <f t="shared" si="3"/>
        <v>63.631578947368418</v>
      </c>
    </row>
    <row r="28" spans="2:9" x14ac:dyDescent="0.25">
      <c r="B28" s="44" t="s">
        <v>4</v>
      </c>
      <c r="C28" s="43">
        <v>54000</v>
      </c>
      <c r="D28" s="43">
        <v>54000</v>
      </c>
      <c r="E28" s="43">
        <f t="shared" si="0"/>
        <v>0</v>
      </c>
      <c r="F28" s="45">
        <f t="shared" si="1"/>
        <v>0</v>
      </c>
      <c r="G28" s="43">
        <v>22</v>
      </c>
      <c r="H28" s="46">
        <f t="shared" si="2"/>
        <v>0</v>
      </c>
      <c r="I28" s="46">
        <f t="shared" si="3"/>
        <v>22</v>
      </c>
    </row>
    <row r="29" spans="2:9" x14ac:dyDescent="0.25">
      <c r="B29" s="44" t="s">
        <v>5</v>
      </c>
      <c r="C29" s="43">
        <v>77000</v>
      </c>
      <c r="D29" s="43">
        <v>78000</v>
      </c>
      <c r="E29" s="43">
        <f t="shared" si="0"/>
        <v>1000</v>
      </c>
      <c r="F29" s="45">
        <f t="shared" si="1"/>
        <v>1.2987012987012987</v>
      </c>
      <c r="G29" s="43">
        <v>137</v>
      </c>
      <c r="H29" s="46">
        <f t="shared" si="2"/>
        <v>1.7792207792207793</v>
      </c>
      <c r="I29" s="46">
        <f t="shared" si="3"/>
        <v>138.77922077922079</v>
      </c>
    </row>
    <row r="30" spans="2:9" x14ac:dyDescent="0.25">
      <c r="B30" s="42"/>
      <c r="C30" s="43"/>
      <c r="D30" s="43"/>
      <c r="E30" s="43"/>
      <c r="F30" s="43"/>
      <c r="G30" s="48">
        <f>SUM(G24:G29)</f>
        <v>764</v>
      </c>
      <c r="H30" s="48"/>
      <c r="I30" s="49">
        <f>SUM(I24:I29)</f>
        <v>772.26745564552061</v>
      </c>
    </row>
  </sheetData>
  <sheetProtection algorithmName="SHA-512" hashValue="SBITB/PtnT2GK2WayPnVF6w6jMyCpnrXvrlYOhtx+X3081ECK46++VM3zh3sblyo6xdjaAD9WJuOmQbjD9OT7Q==" saltValue="XWN+EXfpirOsYVWvbYwJJg==" spinCount="100000" sheet="1" objects="1" scenarios="1" selectLockedCells="1" selectUnlockedCells="1"/>
  <mergeCells count="7">
    <mergeCell ref="C22:I22"/>
    <mergeCell ref="B18:B20"/>
    <mergeCell ref="B3:B5"/>
    <mergeCell ref="B9:B11"/>
    <mergeCell ref="B12:B14"/>
    <mergeCell ref="B15:B17"/>
    <mergeCell ref="B6:B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Option 1 HoTOC Existing</vt:lpstr>
      <vt:lpstr>Option 2 LA Existing</vt:lpstr>
      <vt:lpstr>Option 3 HNDA Tool with LA Need</vt:lpstr>
      <vt:lpstr>Option 3 Clearance</vt:lpstr>
      <vt:lpstr>LA Data &amp; Methodology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Kennedy</dc:creator>
  <cp:lastModifiedBy>Lucy Turner</cp:lastModifiedBy>
  <cp:lastPrinted>2022-08-02T14:27:53Z</cp:lastPrinted>
  <dcterms:created xsi:type="dcterms:W3CDTF">2021-01-26T13:48:38Z</dcterms:created>
  <dcterms:modified xsi:type="dcterms:W3CDTF">2022-08-02T14:41:10Z</dcterms:modified>
</cp:coreProperties>
</file>